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3170" windowHeight="7395" tabRatio="877" activeTab="4"/>
  </bookViews>
  <sheets>
    <sheet name="Rapp" sheetId="9" r:id="rId1"/>
    <sheet name="Överf" sheetId="14" state="hidden" r:id="rId2"/>
    <sheet name="PM" sheetId="7" r:id="rId3"/>
    <sheet name="Led" sheetId="6" state="hidden" r:id="rId4"/>
    <sheet name="Fältkort" sheetId="1" r:id="rId5"/>
    <sheet name="Resultat" sheetId="75" r:id="rId6"/>
    <sheet name="Sprutj" sheetId="3" r:id="rId7"/>
    <sheet name="Avvik" sheetId="37" r:id="rId8"/>
    <sheet name="T1" sheetId="44" r:id="rId9"/>
    <sheet name="Ob1" sheetId="82" r:id="rId10"/>
    <sheet name="Ob2" sheetId="81" r:id="rId11"/>
    <sheet name="Ob3" sheetId="80" r:id="rId12"/>
    <sheet name="F1" sheetId="42" state="hidden" r:id="rId13"/>
    <sheet name="F2" sheetId="59" state="hidden" r:id="rId14"/>
    <sheet name="G1" sheetId="68" r:id="rId15"/>
    <sheet name="G2" sheetId="73" r:id="rId16"/>
    <sheet name="G3" sheetId="72" r:id="rId17"/>
    <sheet name="SOP1" sheetId="38" r:id="rId18"/>
    <sheet name="Skörd" sheetId="19" r:id="rId19"/>
    <sheet name="Blad1" sheetId="83" r:id="rId20"/>
  </sheets>
  <definedNames>
    <definedName name="_xlnm.Print_Area" localSheetId="7">Avvik!$A$1:$P$20</definedName>
    <definedName name="_xlnm.Print_Area" localSheetId="4">Fältkort!$A$1:$AJ$135</definedName>
    <definedName name="_xlnm.Print_Area" localSheetId="9">'Ob1'!$A$1:$O$109</definedName>
    <definedName name="_xlnm.Print_Area" localSheetId="10">'Ob2'!$A$1:$O$109</definedName>
    <definedName name="_xlnm.Print_Area" localSheetId="11">'Ob3'!$A$1:$O$109</definedName>
    <definedName name="_xlnm.Print_Area" localSheetId="2">PM!$A$1:$AH$116</definedName>
    <definedName name="_xlnm.Print_Area" localSheetId="5">Resultat!$B$1:$AK$28</definedName>
    <definedName name="_xlnm.Print_Area" localSheetId="18">Skörd!$A$1:$L$64</definedName>
    <definedName name="_xlnm.Print_Area" localSheetId="6">Sprutj!$A$1:$U$59</definedName>
    <definedName name="_xlnm.Print_Area" localSheetId="8">'T1'!$A$1:$O$110</definedName>
    <definedName name="_xlnm.Print_Titles" localSheetId="12">'F1'!$1:$5</definedName>
    <definedName name="_xlnm.Print_Titles" localSheetId="13">'F2'!$1:$5</definedName>
    <definedName name="_xlnm.Print_Titles" localSheetId="14">'G1'!$1:$6</definedName>
    <definedName name="_xlnm.Print_Titles" localSheetId="15">'G2'!$1:$6</definedName>
    <definedName name="_xlnm.Print_Titles" localSheetId="16">'G3'!$1:$6</definedName>
    <definedName name="_xlnm.Print_Titles" localSheetId="5">Resultat!$B:$B,Resultat!$1:$2</definedName>
    <definedName name="_xlnm.Print_Titles" localSheetId="18">Skörd!$1:$4</definedName>
  </definedNames>
  <calcPr calcId="145621"/>
</workbook>
</file>

<file path=xl/calcChain.xml><?xml version="1.0" encoding="utf-8"?>
<calcChain xmlns="http://schemas.openxmlformats.org/spreadsheetml/2006/main">
  <c r="K8" i="1" l="1"/>
  <c r="J8" i="1"/>
  <c r="K10" i="1"/>
  <c r="K11" i="1"/>
  <c r="K12" i="1"/>
  <c r="K13" i="1"/>
  <c r="K14" i="1"/>
  <c r="K15" i="1"/>
  <c r="K9" i="1"/>
  <c r="N99" i="80" l="1"/>
  <c r="O95" i="80"/>
  <c r="N98" i="80" s="1"/>
  <c r="N95" i="80"/>
  <c r="O94" i="80"/>
  <c r="N97" i="80" s="1"/>
  <c r="O93" i="80"/>
  <c r="N96" i="80" s="1"/>
  <c r="O92" i="80"/>
  <c r="N91" i="80"/>
  <c r="N89" i="80"/>
  <c r="N87" i="80"/>
  <c r="N85" i="80"/>
  <c r="N83" i="80"/>
  <c r="N81" i="80"/>
  <c r="N79" i="80"/>
  <c r="O75" i="80"/>
  <c r="N78" i="80" s="1"/>
  <c r="N75" i="80"/>
  <c r="O74" i="80"/>
  <c r="N77" i="80" s="1"/>
  <c r="O73" i="80"/>
  <c r="N76" i="80" s="1"/>
  <c r="O72" i="80"/>
  <c r="N71" i="80"/>
  <c r="N69" i="80"/>
  <c r="N67" i="80"/>
  <c r="N65" i="80"/>
  <c r="N63" i="80"/>
  <c r="N61" i="80"/>
  <c r="N99" i="81"/>
  <c r="O95" i="81"/>
  <c r="N98" i="81" s="1"/>
  <c r="N95" i="81"/>
  <c r="O94" i="81"/>
  <c r="N97" i="81" s="1"/>
  <c r="O93" i="81"/>
  <c r="N96" i="81" s="1"/>
  <c r="O92" i="81"/>
  <c r="N91" i="81"/>
  <c r="N89" i="81"/>
  <c r="N87" i="81"/>
  <c r="N85" i="81"/>
  <c r="N83" i="81"/>
  <c r="N81" i="81"/>
  <c r="N79" i="81"/>
  <c r="O75" i="81"/>
  <c r="N78" i="81" s="1"/>
  <c r="N75" i="81"/>
  <c r="O74" i="81"/>
  <c r="N77" i="81" s="1"/>
  <c r="O73" i="81"/>
  <c r="N76" i="81" s="1"/>
  <c r="O72" i="81"/>
  <c r="N71" i="81"/>
  <c r="N67" i="81"/>
  <c r="N63" i="81"/>
  <c r="N99" i="82"/>
  <c r="O95" i="82"/>
  <c r="N98" i="82" s="1"/>
  <c r="N95" i="82"/>
  <c r="O94" i="82"/>
  <c r="N97" i="82" s="1"/>
  <c r="O93" i="82"/>
  <c r="N96" i="82" s="1"/>
  <c r="O92" i="82"/>
  <c r="N91" i="82"/>
  <c r="N89" i="82"/>
  <c r="N87" i="82"/>
  <c r="N85" i="82"/>
  <c r="N83" i="82"/>
  <c r="N81" i="82"/>
  <c r="N79" i="82"/>
  <c r="O75" i="82"/>
  <c r="N78" i="82" s="1"/>
  <c r="N75" i="82"/>
  <c r="O74" i="82"/>
  <c r="N77" i="82" s="1"/>
  <c r="O73" i="82"/>
  <c r="N76" i="82" s="1"/>
  <c r="O72" i="82"/>
  <c r="N71" i="82"/>
  <c r="N67" i="82"/>
  <c r="N63" i="82"/>
  <c r="N49" i="80"/>
  <c r="O45" i="80"/>
  <c r="N48" i="80" s="1"/>
  <c r="N45" i="80"/>
  <c r="O44" i="80"/>
  <c r="N47" i="80" s="1"/>
  <c r="O43" i="80"/>
  <c r="N46" i="80" s="1"/>
  <c r="O42" i="80"/>
  <c r="N41" i="80"/>
  <c r="N39" i="80"/>
  <c r="N37" i="80"/>
  <c r="N35" i="80"/>
  <c r="N33" i="80"/>
  <c r="N31" i="80"/>
  <c r="N29" i="80"/>
  <c r="O25" i="80"/>
  <c r="N28" i="80" s="1"/>
  <c r="N25" i="80"/>
  <c r="O24" i="80"/>
  <c r="N19" i="80" s="1"/>
  <c r="O23" i="80"/>
  <c r="N26" i="80" s="1"/>
  <c r="O22" i="80"/>
  <c r="N21" i="80"/>
  <c r="N17" i="80"/>
  <c r="N15" i="80"/>
  <c r="N13" i="80"/>
  <c r="N11" i="80"/>
  <c r="N49" i="81"/>
  <c r="O45" i="81"/>
  <c r="N48" i="81" s="1"/>
  <c r="N45" i="81"/>
  <c r="O44" i="81"/>
  <c r="N47" i="81" s="1"/>
  <c r="O43" i="81"/>
  <c r="N46" i="81" s="1"/>
  <c r="O42" i="81"/>
  <c r="N41" i="81"/>
  <c r="N39" i="81"/>
  <c r="N37" i="81"/>
  <c r="N35" i="81"/>
  <c r="N33" i="81"/>
  <c r="N31" i="81"/>
  <c r="N29" i="81"/>
  <c r="O25" i="81"/>
  <c r="N28" i="81" s="1"/>
  <c r="N25" i="81"/>
  <c r="O24" i="81"/>
  <c r="N27" i="81" s="1"/>
  <c r="O23" i="81"/>
  <c r="N26" i="81" s="1"/>
  <c r="O22" i="81"/>
  <c r="N21" i="81"/>
  <c r="N19" i="81"/>
  <c r="N17" i="81"/>
  <c r="N15" i="81"/>
  <c r="N13" i="81"/>
  <c r="N11" i="81"/>
  <c r="N49" i="82"/>
  <c r="O45" i="82"/>
  <c r="N48" i="82" s="1"/>
  <c r="N45" i="82"/>
  <c r="O44" i="82"/>
  <c r="N47" i="82" s="1"/>
  <c r="O43" i="82"/>
  <c r="N46" i="82" s="1"/>
  <c r="O42" i="82"/>
  <c r="N41" i="82"/>
  <c r="N39" i="82"/>
  <c r="N37" i="82"/>
  <c r="N35" i="82"/>
  <c r="N33" i="82"/>
  <c r="N31" i="82"/>
  <c r="N29" i="82"/>
  <c r="O25" i="82"/>
  <c r="N28" i="82" s="1"/>
  <c r="N25" i="82"/>
  <c r="O24" i="82"/>
  <c r="N27" i="82" s="1"/>
  <c r="O23" i="82"/>
  <c r="N26" i="82" s="1"/>
  <c r="O22" i="82"/>
  <c r="N21" i="82"/>
  <c r="N19" i="82"/>
  <c r="N17" i="82"/>
  <c r="N15" i="82"/>
  <c r="N13" i="82"/>
  <c r="N11" i="82"/>
  <c r="N100" i="44"/>
  <c r="N99" i="44"/>
  <c r="N98" i="44"/>
  <c r="N97" i="44"/>
  <c r="N92" i="44"/>
  <c r="N91" i="44"/>
  <c r="N90" i="44"/>
  <c r="N89" i="44"/>
  <c r="N88" i="44"/>
  <c r="N87" i="44"/>
  <c r="N86" i="44"/>
  <c r="N85" i="44"/>
  <c r="N84" i="44"/>
  <c r="N83" i="44"/>
  <c r="N82" i="44"/>
  <c r="N81" i="44"/>
  <c r="N96" i="44"/>
  <c r="N95" i="44"/>
  <c r="N94" i="44"/>
  <c r="N93" i="44"/>
  <c r="N80" i="44"/>
  <c r="N79" i="44"/>
  <c r="N78" i="44"/>
  <c r="N77" i="44"/>
  <c r="N76" i="44"/>
  <c r="N75" i="44"/>
  <c r="N74" i="44"/>
  <c r="N73" i="44"/>
  <c r="N72" i="44"/>
  <c r="N71" i="44"/>
  <c r="N70" i="44"/>
  <c r="N69" i="44"/>
  <c r="N68" i="44"/>
  <c r="N67" i="44"/>
  <c r="N66" i="44"/>
  <c r="N65" i="44"/>
  <c r="N64" i="44"/>
  <c r="N63" i="44"/>
  <c r="N62" i="44"/>
  <c r="N61" i="44"/>
  <c r="N50" i="44"/>
  <c r="N49" i="44"/>
  <c r="N48" i="44"/>
  <c r="N47" i="44"/>
  <c r="N42" i="44"/>
  <c r="N41" i="44"/>
  <c r="N40" i="44"/>
  <c r="N39" i="44"/>
  <c r="N38" i="44"/>
  <c r="N37" i="44"/>
  <c r="N36" i="44"/>
  <c r="N35" i="44"/>
  <c r="N34" i="44"/>
  <c r="N33" i="44"/>
  <c r="N32" i="44"/>
  <c r="N31" i="44"/>
  <c r="N14" i="44"/>
  <c r="N13" i="44"/>
  <c r="N18" i="44"/>
  <c r="N17" i="44"/>
  <c r="N22" i="44"/>
  <c r="N21" i="44"/>
  <c r="N30" i="44"/>
  <c r="N29" i="44"/>
  <c r="N26" i="44"/>
  <c r="N46" i="44"/>
  <c r="N45" i="44"/>
  <c r="N44" i="44"/>
  <c r="N43" i="44"/>
  <c r="N25" i="44"/>
  <c r="M1" i="6"/>
  <c r="I1" i="6"/>
  <c r="H1" i="6"/>
  <c r="G1" i="6"/>
  <c r="A11" i="37"/>
  <c r="F4" i="6" l="1"/>
  <c r="K4" i="6" s="1"/>
  <c r="F81" i="6"/>
  <c r="D81" i="6" s="1"/>
  <c r="F79" i="6"/>
  <c r="D79" i="6" s="1"/>
  <c r="F77" i="6"/>
  <c r="D77" i="6" s="1"/>
  <c r="F75" i="6"/>
  <c r="D75" i="6" s="1"/>
  <c r="F73" i="6"/>
  <c r="D73" i="6" s="1"/>
  <c r="F71" i="6"/>
  <c r="D71" i="6" s="1"/>
  <c r="F69" i="6"/>
  <c r="K69" i="6" s="1"/>
  <c r="F67" i="6"/>
  <c r="K67" i="6" s="1"/>
  <c r="F65" i="6"/>
  <c r="K65" i="6" s="1"/>
  <c r="F63" i="6"/>
  <c r="K63" i="6" s="1"/>
  <c r="F61" i="6"/>
  <c r="K61" i="6" s="1"/>
  <c r="F59" i="6"/>
  <c r="K59" i="6" s="1"/>
  <c r="F57" i="6"/>
  <c r="K57" i="6" s="1"/>
  <c r="F55" i="6"/>
  <c r="K55" i="6" s="1"/>
  <c r="F53" i="6"/>
  <c r="K53" i="6" s="1"/>
  <c r="F51" i="6"/>
  <c r="K51" i="6" s="1"/>
  <c r="F49" i="6"/>
  <c r="K49" i="6" s="1"/>
  <c r="F47" i="6"/>
  <c r="K47" i="6" s="1"/>
  <c r="F45" i="6"/>
  <c r="K45" i="6" s="1"/>
  <c r="F43" i="6"/>
  <c r="K43" i="6" s="1"/>
  <c r="F41" i="6"/>
  <c r="K41" i="6" s="1"/>
  <c r="F39" i="6"/>
  <c r="K39" i="6" s="1"/>
  <c r="F37" i="6"/>
  <c r="K37" i="6" s="1"/>
  <c r="F35" i="6"/>
  <c r="K35" i="6" s="1"/>
  <c r="F33" i="6"/>
  <c r="K33" i="6" s="1"/>
  <c r="F31" i="6"/>
  <c r="K31" i="6" s="1"/>
  <c r="F29" i="6"/>
  <c r="K29" i="6" s="1"/>
  <c r="F27" i="6"/>
  <c r="K27" i="6" s="1"/>
  <c r="F25" i="6"/>
  <c r="K25" i="6" s="1"/>
  <c r="F23" i="6"/>
  <c r="K23" i="6" s="1"/>
  <c r="F21" i="6"/>
  <c r="K21" i="6" s="1"/>
  <c r="F19" i="6"/>
  <c r="K19" i="6" s="1"/>
  <c r="F17" i="6"/>
  <c r="K17" i="6" s="1"/>
  <c r="F15" i="6"/>
  <c r="K15" i="6" s="1"/>
  <c r="F13" i="6"/>
  <c r="K13" i="6" s="1"/>
  <c r="F11" i="6"/>
  <c r="K11" i="6" s="1"/>
  <c r="F9" i="6"/>
  <c r="K9" i="6" s="1"/>
  <c r="F7" i="6"/>
  <c r="K7" i="6" s="1"/>
  <c r="F5" i="6"/>
  <c r="K5" i="6" s="1"/>
  <c r="F3" i="6"/>
  <c r="F2" i="6"/>
  <c r="D2" i="6" s="1"/>
  <c r="F80" i="6"/>
  <c r="D80" i="6" s="1"/>
  <c r="F78" i="6"/>
  <c r="D78" i="6" s="1"/>
  <c r="F76" i="6"/>
  <c r="D76" i="6" s="1"/>
  <c r="F74" i="6"/>
  <c r="D74" i="6" s="1"/>
  <c r="F72" i="6"/>
  <c r="D72" i="6" s="1"/>
  <c r="F70" i="6"/>
  <c r="D70" i="6" s="1"/>
  <c r="F68" i="6"/>
  <c r="K68" i="6" s="1"/>
  <c r="F66" i="6"/>
  <c r="K66" i="6" s="1"/>
  <c r="F64" i="6"/>
  <c r="K64" i="6" s="1"/>
  <c r="F62" i="6"/>
  <c r="K62" i="6" s="1"/>
  <c r="F60" i="6"/>
  <c r="K60" i="6" s="1"/>
  <c r="F58" i="6"/>
  <c r="K58" i="6" s="1"/>
  <c r="F56" i="6"/>
  <c r="K56" i="6" s="1"/>
  <c r="F54" i="6"/>
  <c r="K54" i="6" s="1"/>
  <c r="F52" i="6"/>
  <c r="K52" i="6" s="1"/>
  <c r="F50" i="6"/>
  <c r="K50" i="6" s="1"/>
  <c r="F48" i="6"/>
  <c r="K48" i="6" s="1"/>
  <c r="F46" i="6"/>
  <c r="K46" i="6" s="1"/>
  <c r="F44" i="6"/>
  <c r="K44" i="6" s="1"/>
  <c r="F42" i="6"/>
  <c r="K42" i="6" s="1"/>
  <c r="F40" i="6"/>
  <c r="K40" i="6" s="1"/>
  <c r="F38" i="6"/>
  <c r="K38" i="6" s="1"/>
  <c r="F36" i="6"/>
  <c r="K36" i="6" s="1"/>
  <c r="F34" i="6"/>
  <c r="K34" i="6" s="1"/>
  <c r="F32" i="6"/>
  <c r="K32" i="6" s="1"/>
  <c r="F30" i="6"/>
  <c r="K30" i="6" s="1"/>
  <c r="F28" i="6"/>
  <c r="K28" i="6" s="1"/>
  <c r="F26" i="6"/>
  <c r="K26" i="6" s="1"/>
  <c r="F24" i="6"/>
  <c r="K24" i="6" s="1"/>
  <c r="F22" i="6"/>
  <c r="K22" i="6" s="1"/>
  <c r="F20" i="6"/>
  <c r="K20" i="6" s="1"/>
  <c r="F18" i="6"/>
  <c r="K18" i="6" s="1"/>
  <c r="F16" i="6"/>
  <c r="K16" i="6" s="1"/>
  <c r="F14" i="6"/>
  <c r="K14" i="6" s="1"/>
  <c r="F12" i="6"/>
  <c r="K12" i="6" s="1"/>
  <c r="F10" i="6"/>
  <c r="K10" i="6" s="1"/>
  <c r="F8" i="6"/>
  <c r="K8" i="6" s="1"/>
  <c r="F6" i="6"/>
  <c r="K6" i="6" s="1"/>
  <c r="N60" i="80"/>
  <c r="N62" i="80"/>
  <c r="N64" i="80"/>
  <c r="N66" i="80"/>
  <c r="N68" i="80"/>
  <c r="N70" i="80"/>
  <c r="N72" i="80"/>
  <c r="N73" i="80"/>
  <c r="N74" i="80"/>
  <c r="N80" i="80"/>
  <c r="N82" i="80"/>
  <c r="N84" i="80"/>
  <c r="N86" i="80"/>
  <c r="N88" i="80"/>
  <c r="N90" i="80"/>
  <c r="N92" i="80"/>
  <c r="N93" i="80"/>
  <c r="N94" i="80"/>
  <c r="N60" i="81"/>
  <c r="N62" i="81"/>
  <c r="N64" i="81"/>
  <c r="N66" i="81"/>
  <c r="N68" i="81"/>
  <c r="N70" i="81"/>
  <c r="N72" i="81"/>
  <c r="N73" i="81"/>
  <c r="N74" i="81"/>
  <c r="N80" i="81"/>
  <c r="N82" i="81"/>
  <c r="N84" i="81"/>
  <c r="N86" i="81"/>
  <c r="N88" i="81"/>
  <c r="N90" i="81"/>
  <c r="N92" i="81"/>
  <c r="N93" i="81"/>
  <c r="N94" i="81"/>
  <c r="N61" i="81"/>
  <c r="N65" i="81"/>
  <c r="N69" i="81"/>
  <c r="N60" i="82"/>
  <c r="N62" i="82"/>
  <c r="N64" i="82"/>
  <c r="N66" i="82"/>
  <c r="N68" i="82"/>
  <c r="N70" i="82"/>
  <c r="N72" i="82"/>
  <c r="N73" i="82"/>
  <c r="N74" i="82"/>
  <c r="N80" i="82"/>
  <c r="N82" i="82"/>
  <c r="N84" i="82"/>
  <c r="N86" i="82"/>
  <c r="N88" i="82"/>
  <c r="N90" i="82"/>
  <c r="N92" i="82"/>
  <c r="N93" i="82"/>
  <c r="N94" i="82"/>
  <c r="N61" i="82"/>
  <c r="N65" i="82"/>
  <c r="N69" i="82"/>
  <c r="N27" i="80"/>
  <c r="N10" i="80"/>
  <c r="N12" i="80"/>
  <c r="N14" i="80"/>
  <c r="N16" i="80"/>
  <c r="N18" i="80"/>
  <c r="N20" i="80"/>
  <c r="N22" i="80"/>
  <c r="N23" i="80"/>
  <c r="N24" i="80"/>
  <c r="N30" i="80"/>
  <c r="N32" i="80"/>
  <c r="N34" i="80"/>
  <c r="N36" i="80"/>
  <c r="N38" i="80"/>
  <c r="N40" i="80"/>
  <c r="N42" i="80"/>
  <c r="N43" i="80"/>
  <c r="N44" i="80"/>
  <c r="N10" i="81"/>
  <c r="N12" i="81"/>
  <c r="N14" i="81"/>
  <c r="N16" i="81"/>
  <c r="N18" i="81"/>
  <c r="N20" i="81"/>
  <c r="N22" i="81"/>
  <c r="N23" i="81"/>
  <c r="N24" i="81"/>
  <c r="N30" i="81"/>
  <c r="N32" i="81"/>
  <c r="N34" i="81"/>
  <c r="N36" i="81"/>
  <c r="N38" i="81"/>
  <c r="N40" i="81"/>
  <c r="N42" i="81"/>
  <c r="N43" i="81"/>
  <c r="N44" i="81"/>
  <c r="N10" i="82"/>
  <c r="N12" i="82"/>
  <c r="N14" i="82"/>
  <c r="N16" i="82"/>
  <c r="N18" i="82"/>
  <c r="N20" i="82"/>
  <c r="N22" i="82"/>
  <c r="N23" i="82"/>
  <c r="N24" i="82"/>
  <c r="N30" i="82"/>
  <c r="N32" i="82"/>
  <c r="N34" i="82"/>
  <c r="N36" i="82"/>
  <c r="N38" i="82"/>
  <c r="N40" i="82"/>
  <c r="N42" i="82"/>
  <c r="N43" i="82"/>
  <c r="N44" i="82"/>
  <c r="K2" i="6"/>
  <c r="AH81" i="1"/>
  <c r="D3" i="6" l="1"/>
  <c r="D4" i="6" s="1"/>
  <c r="D5" i="6" s="1"/>
  <c r="D6" i="6" s="1"/>
  <c r="D7" i="6" s="1"/>
  <c r="D8" i="6" s="1"/>
  <c r="D9" i="6" s="1"/>
  <c r="D10" i="6" s="1"/>
  <c r="D11" i="6" s="1"/>
  <c r="D12" i="6" s="1"/>
  <c r="D13" i="6" s="1"/>
  <c r="D14" i="6" s="1"/>
  <c r="D15" i="6" s="1"/>
  <c r="D16" i="6" s="1"/>
  <c r="D17" i="6" s="1"/>
  <c r="D18" i="6" s="1"/>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D43" i="6" s="1"/>
  <c r="D44" i="6" s="1"/>
  <c r="D45" i="6" s="1"/>
  <c r="D46" i="6" s="1"/>
  <c r="D47" i="6" s="1"/>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K3" i="6"/>
  <c r="C108" i="44"/>
  <c r="O96" i="44"/>
  <c r="O95" i="44"/>
  <c r="O94" i="44"/>
  <c r="O93" i="44"/>
  <c r="O76" i="44"/>
  <c r="O75" i="44"/>
  <c r="O74" i="44"/>
  <c r="O73" i="44"/>
  <c r="M57" i="44"/>
  <c r="I57" i="44"/>
  <c r="F57" i="44"/>
  <c r="O46" i="44"/>
  <c r="O45" i="44"/>
  <c r="O44" i="44"/>
  <c r="O43" i="44"/>
  <c r="I107" i="44"/>
  <c r="M107" i="44" s="1"/>
  <c r="H107" i="44"/>
  <c r="L107" i="44" s="1"/>
  <c r="O26" i="44"/>
  <c r="I108" i="44" s="1"/>
  <c r="M108" i="44" s="1"/>
  <c r="I106" i="44"/>
  <c r="M106" i="44" s="1"/>
  <c r="O25" i="44"/>
  <c r="H108" i="44" s="1"/>
  <c r="L108" i="44" s="1"/>
  <c r="H106" i="44"/>
  <c r="L106" i="44" s="1"/>
  <c r="O24" i="44"/>
  <c r="O23" i="44"/>
  <c r="I105" i="44"/>
  <c r="M105" i="44" s="1"/>
  <c r="H105" i="44"/>
  <c r="L105" i="44" s="1"/>
  <c r="I104" i="44"/>
  <c r="M104" i="44" s="1"/>
  <c r="H104" i="44"/>
  <c r="L104" i="44" s="1"/>
  <c r="I103" i="44"/>
  <c r="M103" i="44" s="1"/>
  <c r="H103" i="44"/>
  <c r="L103" i="44" s="1"/>
  <c r="A6" i="44"/>
  <c r="A57" i="44" s="1"/>
  <c r="O1" i="44"/>
  <c r="C107" i="80"/>
  <c r="M56" i="80"/>
  <c r="I56" i="80"/>
  <c r="F56" i="80"/>
  <c r="I106" i="80"/>
  <c r="M106" i="80" s="1"/>
  <c r="H106" i="80"/>
  <c r="L106" i="80" s="1"/>
  <c r="G106" i="80"/>
  <c r="K106" i="80" s="1"/>
  <c r="F106" i="80"/>
  <c r="J106" i="80" s="1"/>
  <c r="I107" i="80"/>
  <c r="M107" i="80" s="1"/>
  <c r="I105" i="80"/>
  <c r="M105" i="80" s="1"/>
  <c r="H107" i="80"/>
  <c r="L107" i="80" s="1"/>
  <c r="H105" i="80"/>
  <c r="L105" i="80" s="1"/>
  <c r="G107" i="80"/>
  <c r="K107" i="80" s="1"/>
  <c r="G105" i="80"/>
  <c r="K105" i="80" s="1"/>
  <c r="F107" i="80"/>
  <c r="J107" i="80" s="1"/>
  <c r="N107" i="80" s="1"/>
  <c r="F105" i="80"/>
  <c r="J105" i="80" s="1"/>
  <c r="N105" i="80" s="1"/>
  <c r="I104" i="80"/>
  <c r="M104" i="80" s="1"/>
  <c r="H104" i="80"/>
  <c r="L104" i="80" s="1"/>
  <c r="G104" i="80"/>
  <c r="K104" i="80" s="1"/>
  <c r="F104" i="80"/>
  <c r="J104" i="80" s="1"/>
  <c r="I103" i="80"/>
  <c r="M103" i="80" s="1"/>
  <c r="H103" i="80"/>
  <c r="L103" i="80" s="1"/>
  <c r="G103" i="80"/>
  <c r="K103" i="80" s="1"/>
  <c r="F103" i="80"/>
  <c r="J103" i="80" s="1"/>
  <c r="I102" i="80"/>
  <c r="M102" i="80" s="1"/>
  <c r="H102" i="80"/>
  <c r="L102" i="80" s="1"/>
  <c r="G102" i="80"/>
  <c r="K102" i="80" s="1"/>
  <c r="F102" i="80"/>
  <c r="J102" i="80" s="1"/>
  <c r="A6" i="80"/>
  <c r="A56" i="80" s="1"/>
  <c r="O1" i="80"/>
  <c r="C107" i="81"/>
  <c r="M56" i="81"/>
  <c r="I56" i="81"/>
  <c r="F56" i="81"/>
  <c r="I106" i="81"/>
  <c r="M106" i="81" s="1"/>
  <c r="H106" i="81"/>
  <c r="L106" i="81" s="1"/>
  <c r="G106" i="81"/>
  <c r="K106" i="81" s="1"/>
  <c r="F106" i="81"/>
  <c r="J106" i="81" s="1"/>
  <c r="N106" i="81" s="1"/>
  <c r="I107" i="81"/>
  <c r="M107" i="81" s="1"/>
  <c r="I105" i="81"/>
  <c r="M105" i="81" s="1"/>
  <c r="H107" i="81"/>
  <c r="L107" i="81" s="1"/>
  <c r="H105" i="81"/>
  <c r="L105" i="81" s="1"/>
  <c r="G107" i="81"/>
  <c r="K107" i="81" s="1"/>
  <c r="G105" i="81"/>
  <c r="K105" i="81" s="1"/>
  <c r="F107" i="81"/>
  <c r="J107" i="81" s="1"/>
  <c r="N107" i="81" s="1"/>
  <c r="F105" i="81"/>
  <c r="J105" i="81" s="1"/>
  <c r="N105" i="81" s="1"/>
  <c r="I104" i="81"/>
  <c r="M104" i="81" s="1"/>
  <c r="H104" i="81"/>
  <c r="L104" i="81" s="1"/>
  <c r="G104" i="81"/>
  <c r="K104" i="81" s="1"/>
  <c r="F104" i="81"/>
  <c r="J104" i="81" s="1"/>
  <c r="N104" i="81" s="1"/>
  <c r="I103" i="81"/>
  <c r="M103" i="81" s="1"/>
  <c r="H103" i="81"/>
  <c r="L103" i="81" s="1"/>
  <c r="G103" i="81"/>
  <c r="K103" i="81" s="1"/>
  <c r="F103" i="81"/>
  <c r="J103" i="81" s="1"/>
  <c r="N103" i="81" s="1"/>
  <c r="I102" i="81"/>
  <c r="M102" i="81" s="1"/>
  <c r="H102" i="81"/>
  <c r="L102" i="81" s="1"/>
  <c r="G102" i="81"/>
  <c r="K102" i="81" s="1"/>
  <c r="F102" i="81"/>
  <c r="J102" i="81" s="1"/>
  <c r="A6" i="81"/>
  <c r="A56" i="81" s="1"/>
  <c r="O1" i="81"/>
  <c r="I107" i="82"/>
  <c r="F107" i="82"/>
  <c r="H107" i="82"/>
  <c r="G107" i="82"/>
  <c r="H89" i="1"/>
  <c r="N12" i="44" l="1"/>
  <c r="G103" i="44" s="1"/>
  <c r="K103" i="44" s="1"/>
  <c r="N16" i="44"/>
  <c r="G104" i="44" s="1"/>
  <c r="K104" i="44" s="1"/>
  <c r="N20" i="44"/>
  <c r="G105" i="44" s="1"/>
  <c r="K105" i="44" s="1"/>
  <c r="N28" i="44"/>
  <c r="G107" i="44" s="1"/>
  <c r="K107" i="44" s="1"/>
  <c r="F108" i="44"/>
  <c r="J108" i="44" s="1"/>
  <c r="N15" i="44"/>
  <c r="F104" i="44" s="1"/>
  <c r="J104" i="44" s="1"/>
  <c r="N104" i="44" s="1"/>
  <c r="N23" i="44"/>
  <c r="F106" i="44" s="1"/>
  <c r="J106" i="44" s="1"/>
  <c r="N11" i="44"/>
  <c r="F103" i="44" s="1"/>
  <c r="J103" i="44" s="1"/>
  <c r="N19" i="44"/>
  <c r="F105" i="44" s="1"/>
  <c r="J105" i="44" s="1"/>
  <c r="N105" i="44" s="1"/>
  <c r="N27" i="44"/>
  <c r="F107" i="44" s="1"/>
  <c r="J107" i="44" s="1"/>
  <c r="N103" i="80"/>
  <c r="N104" i="80"/>
  <c r="N106" i="80"/>
  <c r="N107" i="44"/>
  <c r="G108" i="44"/>
  <c r="K108" i="44" s="1"/>
  <c r="N108" i="44" s="1"/>
  <c r="N24" i="44"/>
  <c r="G106" i="44" s="1"/>
  <c r="K106" i="44" s="1"/>
  <c r="N106" i="44" s="1"/>
  <c r="C3" i="81"/>
  <c r="B27" i="81" s="1"/>
  <c r="B47" i="81" s="1"/>
  <c r="C3" i="80"/>
  <c r="B27" i="80" s="1"/>
  <c r="C3" i="44"/>
  <c r="B28" i="44" s="1"/>
  <c r="B48" i="44" s="1"/>
  <c r="N103" i="44"/>
  <c r="B16" i="44"/>
  <c r="N102" i="80"/>
  <c r="B77" i="80"/>
  <c r="B47" i="80"/>
  <c r="B10" i="80"/>
  <c r="B11" i="80"/>
  <c r="B23" i="80"/>
  <c r="B14" i="80"/>
  <c r="B15" i="80"/>
  <c r="B18" i="80"/>
  <c r="B19" i="80"/>
  <c r="B22" i="80"/>
  <c r="B26" i="80"/>
  <c r="N102" i="81"/>
  <c r="B77" i="81"/>
  <c r="B19" i="81" l="1"/>
  <c r="B26" i="81"/>
  <c r="B23" i="81"/>
  <c r="B15" i="81"/>
  <c r="B10" i="81"/>
  <c r="B27" i="44"/>
  <c r="B77" i="44" s="1"/>
  <c r="B20" i="44"/>
  <c r="B40" i="44" s="1"/>
  <c r="B24" i="44"/>
  <c r="B74" i="44" s="1"/>
  <c r="B78" i="44"/>
  <c r="C107" i="44" s="1"/>
  <c r="B22" i="81"/>
  <c r="B42" i="81" s="1"/>
  <c r="B18" i="81"/>
  <c r="B14" i="81"/>
  <c r="B34" i="81" s="1"/>
  <c r="B11" i="81"/>
  <c r="B23" i="44"/>
  <c r="B73" i="44" s="1"/>
  <c r="B19" i="44"/>
  <c r="B39" i="44" s="1"/>
  <c r="B15" i="44"/>
  <c r="B65" i="44" s="1"/>
  <c r="B12" i="44"/>
  <c r="B32" i="44" s="1"/>
  <c r="B11" i="44"/>
  <c r="B70" i="44"/>
  <c r="B69" i="44"/>
  <c r="B62" i="44"/>
  <c r="B82" i="44" s="1"/>
  <c r="C103" i="44"/>
  <c r="B47" i="44"/>
  <c r="B66" i="44"/>
  <c r="B36" i="44"/>
  <c r="B98" i="44"/>
  <c r="B72" i="80"/>
  <c r="B42" i="80"/>
  <c r="B68" i="80"/>
  <c r="B38" i="80"/>
  <c r="B64" i="80"/>
  <c r="B34" i="80"/>
  <c r="B61" i="80"/>
  <c r="B81" i="80" s="1"/>
  <c r="B31" i="80"/>
  <c r="C102" i="80"/>
  <c r="B76" i="80"/>
  <c r="B46" i="80"/>
  <c r="B69" i="80"/>
  <c r="B39" i="80"/>
  <c r="B65" i="80"/>
  <c r="B35" i="80"/>
  <c r="B73" i="80"/>
  <c r="B43" i="80"/>
  <c r="B102" i="80"/>
  <c r="B60" i="80"/>
  <c r="B80" i="80" s="1"/>
  <c r="B30" i="80"/>
  <c r="B97" i="80"/>
  <c r="C106" i="80"/>
  <c r="B68" i="81"/>
  <c r="B38" i="81"/>
  <c r="B61" i="81"/>
  <c r="B81" i="81" s="1"/>
  <c r="B31" i="81"/>
  <c r="C102" i="81"/>
  <c r="B76" i="81"/>
  <c r="B46" i="81"/>
  <c r="B69" i="81"/>
  <c r="B39" i="81"/>
  <c r="B65" i="81"/>
  <c r="B35" i="81"/>
  <c r="B73" i="81"/>
  <c r="B43" i="81"/>
  <c r="B102" i="81"/>
  <c r="B60" i="81"/>
  <c r="B80" i="81" s="1"/>
  <c r="B30" i="81"/>
  <c r="B97" i="81"/>
  <c r="C106" i="81"/>
  <c r="B72" i="81"/>
  <c r="B64" i="81"/>
  <c r="B44" i="44" l="1"/>
  <c r="B35" i="44"/>
  <c r="B43" i="44"/>
  <c r="B103" i="44"/>
  <c r="B31" i="44"/>
  <c r="B61" i="44"/>
  <c r="B81" i="44" s="1"/>
  <c r="C106" i="44"/>
  <c r="B94" i="44"/>
  <c r="C104" i="44"/>
  <c r="B86" i="44"/>
  <c r="B107" i="44"/>
  <c r="B97" i="44"/>
  <c r="B85" i="44"/>
  <c r="B104" i="44"/>
  <c r="B105" i="44"/>
  <c r="B89" i="44"/>
  <c r="B93" i="44"/>
  <c r="B106" i="44"/>
  <c r="B90" i="44"/>
  <c r="C105" i="44"/>
  <c r="B84" i="80"/>
  <c r="B103" i="80"/>
  <c r="B104" i="80"/>
  <c r="B88" i="80"/>
  <c r="C105" i="80"/>
  <c r="B93" i="80"/>
  <c r="C103" i="80"/>
  <c r="B85" i="80"/>
  <c r="B89" i="80"/>
  <c r="C104" i="80"/>
  <c r="B106" i="80"/>
  <c r="B96" i="80"/>
  <c r="B92" i="80"/>
  <c r="B105" i="80"/>
  <c r="B84" i="81"/>
  <c r="B103" i="81"/>
  <c r="B92" i="81"/>
  <c r="B105" i="81"/>
  <c r="C105" i="81"/>
  <c r="B93" i="81"/>
  <c r="C103" i="81"/>
  <c r="B85" i="81"/>
  <c r="B89" i="81"/>
  <c r="C104" i="81"/>
  <c r="B106" i="81"/>
  <c r="B96" i="81"/>
  <c r="B104" i="81"/>
  <c r="B88" i="81"/>
  <c r="AL19" i="7" l="1"/>
  <c r="H94" i="1" s="1"/>
  <c r="C6" i="80" l="1"/>
  <c r="C56" i="80" s="1"/>
  <c r="C6" i="44"/>
  <c r="C57" i="44" s="1"/>
  <c r="C6" i="81"/>
  <c r="C56" i="81" s="1"/>
  <c r="O1" i="82"/>
  <c r="H90" i="1"/>
  <c r="AJ3" i="1" l="1"/>
  <c r="AI5" i="1"/>
  <c r="I5" i="75" l="1"/>
  <c r="F5" i="75"/>
  <c r="K7" i="75"/>
  <c r="J7" i="75"/>
  <c r="K6" i="75"/>
  <c r="J6" i="75"/>
  <c r="I7" i="75"/>
  <c r="I6" i="75"/>
  <c r="H7" i="75"/>
  <c r="G7" i="75"/>
  <c r="H6" i="75"/>
  <c r="G6" i="75"/>
  <c r="F7" i="75"/>
  <c r="F6" i="75"/>
  <c r="D6" i="75"/>
  <c r="E6" i="75"/>
  <c r="D7" i="75"/>
  <c r="E7" i="75"/>
  <c r="C7" i="75"/>
  <c r="C6" i="75"/>
  <c r="C5" i="75"/>
  <c r="I4" i="75"/>
  <c r="F4" i="75"/>
  <c r="C4" i="75"/>
  <c r="J3" i="75"/>
  <c r="K3" i="75" s="1"/>
  <c r="H3" i="75"/>
  <c r="G3" i="75"/>
  <c r="E3" i="75"/>
  <c r="D3" i="75"/>
  <c r="H13" i="7"/>
  <c r="G15" i="7"/>
  <c r="G16" i="7"/>
  <c r="G14" i="7"/>
  <c r="D26" i="1"/>
  <c r="AC81" i="1"/>
  <c r="U73" i="1"/>
  <c r="U74" i="1"/>
  <c r="U75" i="1"/>
  <c r="U76" i="1"/>
  <c r="U77" i="1"/>
  <c r="T73" i="1"/>
  <c r="T74" i="1"/>
  <c r="T75" i="1"/>
  <c r="T76" i="1"/>
  <c r="T77" i="1"/>
  <c r="AK129" i="1"/>
  <c r="AK130" i="1"/>
  <c r="AK131" i="1"/>
  <c r="AK132" i="1"/>
  <c r="AK133" i="1"/>
  <c r="AK134" i="1"/>
  <c r="AK128" i="1"/>
  <c r="B69" i="9"/>
  <c r="B66" i="9"/>
  <c r="B63" i="9"/>
  <c r="B60" i="9"/>
  <c r="B57" i="9"/>
  <c r="B54" i="9"/>
  <c r="B51" i="9"/>
  <c r="B48" i="9"/>
  <c r="B45" i="9"/>
  <c r="B42" i="9"/>
  <c r="C73" i="1"/>
  <c r="D73" i="1"/>
  <c r="C74" i="1"/>
  <c r="D74" i="1"/>
  <c r="C75" i="1"/>
  <c r="D75" i="1"/>
  <c r="C76" i="1"/>
  <c r="D76" i="1"/>
  <c r="C77" i="1"/>
  <c r="D77" i="1"/>
  <c r="D72" i="1"/>
  <c r="C72" i="1"/>
  <c r="AN134" i="1"/>
  <c r="AM134" i="1"/>
  <c r="AL134" i="1"/>
  <c r="AN133" i="1"/>
  <c r="AM133" i="1"/>
  <c r="AL133" i="1"/>
  <c r="AN132" i="1"/>
  <c r="AM132" i="1"/>
  <c r="AL132" i="1"/>
  <c r="AN131" i="1"/>
  <c r="AM131" i="1"/>
  <c r="AL131" i="1"/>
  <c r="AN130" i="1"/>
  <c r="AM130" i="1"/>
  <c r="AL130" i="1"/>
  <c r="AN129" i="1"/>
  <c r="AM129" i="1"/>
  <c r="AL129" i="1"/>
  <c r="AN128" i="1"/>
  <c r="AM128" i="1"/>
  <c r="AL128" i="1"/>
  <c r="AN127" i="1"/>
  <c r="AM127" i="1"/>
  <c r="AL127" i="1"/>
  <c r="AN126" i="1"/>
  <c r="AM126" i="1"/>
  <c r="AL126" i="1"/>
  <c r="AN125" i="1"/>
  <c r="AM125" i="1"/>
  <c r="AL125" i="1"/>
  <c r="AN124" i="1"/>
  <c r="AM124" i="1"/>
  <c r="AL124" i="1"/>
  <c r="AN123" i="1"/>
  <c r="AM123" i="1"/>
  <c r="AL123" i="1"/>
  <c r="AN122" i="1"/>
  <c r="AM122" i="1"/>
  <c r="AL122" i="1"/>
  <c r="AN121" i="1"/>
  <c r="AM121" i="1"/>
  <c r="AL121" i="1"/>
  <c r="AN120" i="1"/>
  <c r="AM120" i="1"/>
  <c r="AL120" i="1"/>
  <c r="AN119" i="1"/>
  <c r="AM119" i="1"/>
  <c r="AL119" i="1"/>
  <c r="AN118" i="1"/>
  <c r="AM118" i="1"/>
  <c r="AN117" i="1"/>
  <c r="AM117" i="1"/>
  <c r="AL117" i="1"/>
  <c r="E101" i="7"/>
  <c r="L59" i="1" s="1"/>
  <c r="W101" i="7"/>
  <c r="A59" i="1" l="1"/>
  <c r="I59" i="1"/>
  <c r="F59" i="1"/>
  <c r="H86" i="7" l="1"/>
  <c r="H85" i="7"/>
  <c r="H84" i="7"/>
  <c r="H83" i="7"/>
  <c r="H82" i="7"/>
  <c r="H81" i="7"/>
  <c r="S77" i="1" l="1"/>
  <c r="G83" i="7"/>
  <c r="A74" i="1" s="1"/>
  <c r="G82" i="7"/>
  <c r="A73" i="1" s="1"/>
  <c r="G84" i="7"/>
  <c r="A75" i="1" s="1"/>
  <c r="G86" i="7"/>
  <c r="A77" i="1" s="1"/>
  <c r="G81" i="7"/>
  <c r="A72" i="1" s="1"/>
  <c r="G85" i="7"/>
  <c r="A76" i="1" s="1"/>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90" i="9"/>
  <c r="B89" i="9"/>
  <c r="A153" i="9"/>
  <c r="A145" i="9"/>
  <c r="A137" i="9"/>
  <c r="A129" i="9"/>
  <c r="A121" i="9"/>
  <c r="A113" i="9"/>
  <c r="A105" i="9"/>
  <c r="A97" i="9"/>
  <c r="A96" i="9"/>
  <c r="A104" i="9" s="1"/>
  <c r="A112" i="9" s="1"/>
  <c r="A120" i="9" s="1"/>
  <c r="A128" i="9" s="1"/>
  <c r="A136" i="9" s="1"/>
  <c r="A144" i="9" s="1"/>
  <c r="A152" i="9" s="1"/>
  <c r="A160" i="9" s="1"/>
  <c r="A90" i="9"/>
  <c r="A98" i="9" s="1"/>
  <c r="A106" i="9" s="1"/>
  <c r="A114" i="9" s="1"/>
  <c r="A122" i="9" s="1"/>
  <c r="A130" i="9" s="1"/>
  <c r="A138" i="9" s="1"/>
  <c r="A146" i="9" s="1"/>
  <c r="A154" i="9" s="1"/>
  <c r="A89" i="9"/>
  <c r="F11" i="9"/>
  <c r="E11" i="9"/>
  <c r="F10" i="9"/>
  <c r="E10" i="9"/>
  <c r="L8" i="9"/>
  <c r="F8" i="9"/>
  <c r="E8" i="9"/>
  <c r="F7" i="9"/>
  <c r="E7" i="9"/>
  <c r="F6" i="9"/>
  <c r="E6" i="9"/>
  <c r="F5" i="9"/>
  <c r="B114" i="9" s="1"/>
  <c r="E5" i="9"/>
  <c r="B113" i="9" s="1"/>
  <c r="F4" i="9"/>
  <c r="B106" i="9" s="1"/>
  <c r="E4" i="9"/>
  <c r="B105" i="9" s="1"/>
  <c r="F3" i="9"/>
  <c r="B98" i="9" s="1"/>
  <c r="E3" i="9"/>
  <c r="B97" i="9" s="1"/>
  <c r="F2" i="9"/>
  <c r="E2" i="9"/>
  <c r="V107" i="82"/>
  <c r="U107" i="82"/>
  <c r="T107" i="82"/>
  <c r="S107" i="82"/>
  <c r="C107" i="82"/>
  <c r="R107" i="82" s="1"/>
  <c r="M56" i="82"/>
  <c r="I56" i="82"/>
  <c r="F56" i="82"/>
  <c r="I106" i="82"/>
  <c r="H106" i="82"/>
  <c r="G106" i="82"/>
  <c r="F106" i="82"/>
  <c r="I105" i="82"/>
  <c r="H105" i="82"/>
  <c r="G105" i="82"/>
  <c r="F105" i="82"/>
  <c r="I104" i="82"/>
  <c r="H104" i="82"/>
  <c r="G104" i="82"/>
  <c r="F104" i="82"/>
  <c r="I103" i="82"/>
  <c r="H103" i="82"/>
  <c r="G103" i="82"/>
  <c r="F103" i="82"/>
  <c r="I102" i="82"/>
  <c r="H102" i="82"/>
  <c r="G102" i="82"/>
  <c r="F102" i="82"/>
  <c r="A6" i="82"/>
  <c r="A56" i="82" s="1"/>
  <c r="V107" i="81"/>
  <c r="U107" i="81"/>
  <c r="T107" i="81"/>
  <c r="S107" i="81"/>
  <c r="R107" i="81"/>
  <c r="V107" i="80"/>
  <c r="U107" i="80"/>
  <c r="T107" i="80"/>
  <c r="S107" i="80"/>
  <c r="R107" i="80"/>
  <c r="S108" i="44"/>
  <c r="T108" i="44"/>
  <c r="U108" i="44"/>
  <c r="V108" i="44"/>
  <c r="F9" i="9"/>
  <c r="E9" i="9"/>
  <c r="A81" i="9"/>
  <c r="R108" i="44"/>
  <c r="W107" i="81" l="1"/>
  <c r="L3" i="9" s="1"/>
  <c r="B104" i="9" s="1"/>
  <c r="W108" i="44"/>
  <c r="L9" i="9" s="1"/>
  <c r="B88" i="9" s="1"/>
  <c r="L10" i="9"/>
  <c r="L7" i="9"/>
  <c r="L5" i="9"/>
  <c r="B120" i="9" s="1"/>
  <c r="AE77" i="1"/>
  <c r="AI77" i="1"/>
  <c r="AG77" i="1"/>
  <c r="O76" i="1"/>
  <c r="Q76" i="1"/>
  <c r="L76" i="1"/>
  <c r="L72" i="1"/>
  <c r="Q72" i="1"/>
  <c r="O72" i="1"/>
  <c r="Q77" i="1"/>
  <c r="L77" i="1"/>
  <c r="O77" i="1"/>
  <c r="Q75" i="1"/>
  <c r="L75" i="1"/>
  <c r="O75" i="1"/>
  <c r="Q73" i="1"/>
  <c r="L73" i="1"/>
  <c r="O73" i="1"/>
  <c r="O74" i="1"/>
  <c r="Q74" i="1"/>
  <c r="L74" i="1"/>
  <c r="B82" i="9"/>
  <c r="B81" i="9"/>
  <c r="L11" i="9"/>
  <c r="S105" i="82"/>
  <c r="J105" i="82"/>
  <c r="S102" i="82"/>
  <c r="J102" i="82"/>
  <c r="V102" i="82"/>
  <c r="M102" i="82"/>
  <c r="T103" i="82"/>
  <c r="K103" i="82"/>
  <c r="V103" i="82"/>
  <c r="M103" i="82"/>
  <c r="T104" i="82"/>
  <c r="K104" i="82"/>
  <c r="V104" i="82"/>
  <c r="M104" i="82"/>
  <c r="T105" i="82"/>
  <c r="K105" i="82"/>
  <c r="V105" i="82"/>
  <c r="M105" i="82"/>
  <c r="T106" i="82"/>
  <c r="K106" i="82"/>
  <c r="V106" i="82"/>
  <c r="M106" i="82"/>
  <c r="W107" i="82"/>
  <c r="L2" i="9" s="1"/>
  <c r="B96" i="9" s="1"/>
  <c r="T102" i="82"/>
  <c r="K102" i="82"/>
  <c r="U102" i="82"/>
  <c r="L102" i="82"/>
  <c r="S103" i="82"/>
  <c r="J103" i="82"/>
  <c r="U103" i="82"/>
  <c r="L103" i="82"/>
  <c r="S104" i="82"/>
  <c r="J104" i="82"/>
  <c r="U104" i="82"/>
  <c r="L104" i="82"/>
  <c r="U105" i="82"/>
  <c r="L105" i="82"/>
  <c r="S106" i="82"/>
  <c r="J106" i="82"/>
  <c r="U106" i="82"/>
  <c r="L106" i="82"/>
  <c r="K107" i="82"/>
  <c r="M107" i="82"/>
  <c r="J107" i="82"/>
  <c r="L107" i="82"/>
  <c r="S102" i="81"/>
  <c r="V102" i="81"/>
  <c r="T103" i="81"/>
  <c r="V103" i="81"/>
  <c r="T104" i="81"/>
  <c r="V104" i="81"/>
  <c r="T105" i="81"/>
  <c r="V105" i="81"/>
  <c r="T106" i="81"/>
  <c r="V106" i="81"/>
  <c r="T102" i="81"/>
  <c r="U102" i="81"/>
  <c r="S103" i="81"/>
  <c r="U103" i="81"/>
  <c r="S104" i="81"/>
  <c r="U104" i="81"/>
  <c r="S105" i="81"/>
  <c r="U105" i="81"/>
  <c r="S106" i="81"/>
  <c r="U106" i="81"/>
  <c r="S102" i="80"/>
  <c r="V102" i="80"/>
  <c r="T103" i="80"/>
  <c r="V103" i="80"/>
  <c r="T104" i="80"/>
  <c r="V104" i="80"/>
  <c r="T105" i="80"/>
  <c r="V105" i="80"/>
  <c r="T106" i="80"/>
  <c r="V106" i="80"/>
  <c r="W107" i="80"/>
  <c r="L4" i="9" s="1"/>
  <c r="B112" i="9" s="1"/>
  <c r="T102" i="80"/>
  <c r="U102" i="80"/>
  <c r="S103" i="80"/>
  <c r="U103" i="80"/>
  <c r="S104" i="80"/>
  <c r="U104" i="80"/>
  <c r="S105" i="80"/>
  <c r="U105" i="80"/>
  <c r="S106" i="80"/>
  <c r="U106" i="80"/>
  <c r="L6" i="9"/>
  <c r="N107" i="82" l="1"/>
  <c r="K11" i="9"/>
  <c r="J11" i="9"/>
  <c r="I11" i="9"/>
  <c r="H11" i="9"/>
  <c r="G11" i="9"/>
  <c r="W106" i="82"/>
  <c r="K2" i="9" s="1"/>
  <c r="B95" i="9" s="1"/>
  <c r="W104" i="82"/>
  <c r="I2" i="9" s="1"/>
  <c r="B93" i="9" s="1"/>
  <c r="W103" i="82"/>
  <c r="H2" i="9" s="1"/>
  <c r="B92" i="9" s="1"/>
  <c r="N102" i="82"/>
  <c r="N105" i="82"/>
  <c r="N106" i="82"/>
  <c r="N104" i="82"/>
  <c r="N103" i="82"/>
  <c r="W102" i="82"/>
  <c r="G2" i="9" s="1"/>
  <c r="B91" i="9" s="1"/>
  <c r="W105" i="82"/>
  <c r="J2" i="9" s="1"/>
  <c r="B94" i="9" s="1"/>
  <c r="W106" i="81"/>
  <c r="K3" i="9" s="1"/>
  <c r="B103" i="9" s="1"/>
  <c r="W105" i="81"/>
  <c r="J3" i="9" s="1"/>
  <c r="B102" i="9" s="1"/>
  <c r="W104" i="81"/>
  <c r="I3" i="9" s="1"/>
  <c r="B101" i="9" s="1"/>
  <c r="W103" i="81"/>
  <c r="H3" i="9" s="1"/>
  <c r="B100" i="9" s="1"/>
  <c r="W102" i="81"/>
  <c r="G3" i="9" s="1"/>
  <c r="B99" i="9" s="1"/>
  <c r="W106" i="80"/>
  <c r="K4" i="9" s="1"/>
  <c r="B111" i="9" s="1"/>
  <c r="W105" i="80"/>
  <c r="J4" i="9" s="1"/>
  <c r="B110" i="9" s="1"/>
  <c r="W104" i="80"/>
  <c r="I4" i="9" s="1"/>
  <c r="B109" i="9" s="1"/>
  <c r="W103" i="80"/>
  <c r="H4" i="9" s="1"/>
  <c r="B108" i="9" s="1"/>
  <c r="W102" i="80"/>
  <c r="G4" i="9" s="1"/>
  <c r="B107" i="9" s="1"/>
  <c r="K5" i="9"/>
  <c r="B119" i="9" s="1"/>
  <c r="J5" i="9"/>
  <c r="B118" i="9" s="1"/>
  <c r="I5" i="9"/>
  <c r="B117" i="9" s="1"/>
  <c r="H5" i="9"/>
  <c r="B116" i="9" s="1"/>
  <c r="G5" i="9"/>
  <c r="B115" i="9" s="1"/>
  <c r="K6" i="9"/>
  <c r="G6" i="9"/>
  <c r="J6" i="9"/>
  <c r="I6" i="9"/>
  <c r="H6" i="9"/>
  <c r="J7" i="9"/>
  <c r="K7" i="9"/>
  <c r="I7" i="9"/>
  <c r="G7" i="9"/>
  <c r="H7" i="9"/>
  <c r="K8" i="9"/>
  <c r="J8" i="9"/>
  <c r="I8" i="9"/>
  <c r="H8" i="9"/>
  <c r="G8" i="9"/>
  <c r="Y10" i="1" l="1"/>
  <c r="Y11" i="1"/>
  <c r="Y12" i="1"/>
  <c r="Y13" i="1"/>
  <c r="Y14" i="1"/>
  <c r="Y15" i="1"/>
  <c r="Y16" i="1"/>
  <c r="Y17" i="1"/>
  <c r="Y18" i="1"/>
  <c r="Y19" i="1"/>
  <c r="Y20" i="1"/>
  <c r="Y21" i="1"/>
  <c r="Y22" i="1"/>
  <c r="Y23" i="1"/>
  <c r="Y24" i="1"/>
  <c r="Y25" i="1"/>
  <c r="O10" i="1"/>
  <c r="O11" i="1"/>
  <c r="O12" i="1"/>
  <c r="O13" i="1"/>
  <c r="O14" i="1"/>
  <c r="O15" i="1"/>
  <c r="O16" i="1"/>
  <c r="O17" i="1"/>
  <c r="O18" i="1"/>
  <c r="O19" i="1"/>
  <c r="O20" i="1"/>
  <c r="O21" i="1"/>
  <c r="O22" i="1"/>
  <c r="O23" i="1"/>
  <c r="O24" i="1"/>
  <c r="O25" i="1"/>
  <c r="Y19" i="7"/>
  <c r="O19" i="7"/>
  <c r="B117" i="75" l="1"/>
  <c r="B25" i="75" s="1"/>
  <c r="B79" i="9" l="1"/>
  <c r="B39" i="9" l="1"/>
  <c r="B36" i="9"/>
  <c r="B27" i="9" l="1"/>
  <c r="B26" i="9"/>
  <c r="E202" i="9" l="1"/>
  <c r="D202" i="9"/>
  <c r="C202" i="9"/>
  <c r="B202" i="9"/>
  <c r="E210" i="9"/>
  <c r="D210" i="9"/>
  <c r="C210" i="9"/>
  <c r="B210" i="9"/>
  <c r="E184" i="9"/>
  <c r="D184" i="9"/>
  <c r="C184" i="9"/>
  <c r="B184" i="9"/>
  <c r="E182" i="9"/>
  <c r="D182" i="9"/>
  <c r="C182" i="9"/>
  <c r="B182" i="9"/>
  <c r="E173" i="9"/>
  <c r="D173" i="9"/>
  <c r="C173" i="9"/>
  <c r="B173" i="9"/>
  <c r="E181" i="9"/>
  <c r="D181" i="9"/>
  <c r="C181" i="9"/>
  <c r="B181" i="9"/>
  <c r="E179" i="9"/>
  <c r="D179" i="9"/>
  <c r="C179" i="9"/>
  <c r="B179" i="9"/>
  <c r="E178" i="9"/>
  <c r="D178" i="9"/>
  <c r="C178" i="9"/>
  <c r="B178" i="9"/>
  <c r="E176" i="9"/>
  <c r="D176" i="9"/>
  <c r="C176" i="9"/>
  <c r="B176" i="9"/>
  <c r="E174" i="9"/>
  <c r="E175" i="9" s="1"/>
  <c r="D174" i="9"/>
  <c r="D175" i="9" s="1"/>
  <c r="C174" i="9"/>
  <c r="B174" i="9"/>
  <c r="E171" i="9"/>
  <c r="D171" i="9"/>
  <c r="C171" i="9"/>
  <c r="B171" i="9"/>
  <c r="E170" i="9"/>
  <c r="D170" i="9"/>
  <c r="C170" i="9"/>
  <c r="B170" i="9"/>
  <c r="E168" i="9"/>
  <c r="D168" i="9"/>
  <c r="C168" i="9"/>
  <c r="B168" i="9"/>
  <c r="E167" i="9"/>
  <c r="D167" i="9"/>
  <c r="C167" i="9"/>
  <c r="B167" i="9"/>
  <c r="E165" i="9"/>
  <c r="D165" i="9"/>
  <c r="C165" i="9"/>
  <c r="B32" i="9" s="1"/>
  <c r="B165" i="9"/>
  <c r="B29" i="9" s="1"/>
  <c r="E163" i="9"/>
  <c r="D163" i="9"/>
  <c r="C163" i="9"/>
  <c r="B163" i="9"/>
  <c r="E162" i="9"/>
  <c r="D162" i="9"/>
  <c r="C162" i="9"/>
  <c r="B162" i="9"/>
  <c r="E161" i="9"/>
  <c r="B37" i="9" s="1"/>
  <c r="D161" i="9"/>
  <c r="B34" i="9" s="1"/>
  <c r="C161" i="9"/>
  <c r="B161" i="9"/>
  <c r="D215" i="9" l="1"/>
  <c r="D200" i="9"/>
  <c r="D197" i="9"/>
  <c r="D190" i="9"/>
  <c r="D187" i="9"/>
  <c r="D183" i="9"/>
  <c r="D212" i="9"/>
  <c r="D198" i="9"/>
  <c r="D196" i="9"/>
  <c r="D188" i="9"/>
  <c r="D186" i="9"/>
  <c r="C212" i="9"/>
  <c r="C198" i="9"/>
  <c r="C196" i="9"/>
  <c r="C188" i="9"/>
  <c r="C186" i="9"/>
  <c r="C215" i="9"/>
  <c r="C200" i="9"/>
  <c r="C197" i="9"/>
  <c r="C190" i="9"/>
  <c r="C187" i="9"/>
  <c r="C183" i="9"/>
  <c r="E212" i="9"/>
  <c r="E198" i="9"/>
  <c r="E196" i="9"/>
  <c r="E188" i="9"/>
  <c r="E186" i="9"/>
  <c r="E215" i="9"/>
  <c r="E200" i="9"/>
  <c r="E197" i="9"/>
  <c r="E190" i="9"/>
  <c r="E187" i="9"/>
  <c r="E183" i="9"/>
  <c r="B215" i="9"/>
  <c r="B212" i="9"/>
  <c r="B200" i="9"/>
  <c r="B198" i="9"/>
  <c r="B197" i="9"/>
  <c r="B196" i="9"/>
  <c r="B190" i="9"/>
  <c r="B188" i="9"/>
  <c r="B187" i="9"/>
  <c r="B186" i="9"/>
  <c r="B183" i="9"/>
  <c r="B28" i="9"/>
  <c r="D166" i="9"/>
  <c r="B35" i="9"/>
  <c r="B31" i="9"/>
  <c r="E166" i="9"/>
  <c r="B38" i="9"/>
  <c r="C166" i="9"/>
  <c r="B166" i="9"/>
  <c r="B175" i="9"/>
  <c r="C175" i="9"/>
  <c r="E191" i="9"/>
  <c r="D191" i="9"/>
  <c r="B191" i="9" l="1"/>
  <c r="C191" i="9"/>
  <c r="B72" i="9" l="1"/>
  <c r="B73" i="9"/>
  <c r="B71" i="9"/>
  <c r="B70" i="9" l="1"/>
  <c r="B68" i="9"/>
  <c r="B67" i="9"/>
  <c r="B65" i="9"/>
  <c r="B64" i="9"/>
  <c r="B62" i="9"/>
  <c r="B61" i="9"/>
  <c r="B59" i="9"/>
  <c r="B58" i="9"/>
  <c r="B56" i="9"/>
  <c r="B55" i="9"/>
  <c r="B53" i="9"/>
  <c r="B52" i="9"/>
  <c r="B50" i="9"/>
  <c r="B49" i="9"/>
  <c r="B47" i="9"/>
  <c r="B46" i="9"/>
  <c r="B44" i="9"/>
  <c r="B43" i="9"/>
  <c r="B41" i="9"/>
  <c r="B33" i="9"/>
  <c r="B30" i="9"/>
  <c r="B75" i="9"/>
  <c r="B76" i="9"/>
  <c r="B77" i="9"/>
  <c r="B78" i="9"/>
  <c r="B74" i="9"/>
  <c r="B24" i="9"/>
  <c r="B25" i="9"/>
  <c r="B80" i="9"/>
  <c r="B23" i="9"/>
  <c r="B21" i="9"/>
  <c r="B22" i="9"/>
  <c r="B17" i="9"/>
  <c r="B18" i="9"/>
  <c r="B19" i="9"/>
  <c r="B20" i="9"/>
  <c r="B12" i="9"/>
  <c r="AG82" i="1" l="1"/>
  <c r="M81" i="1"/>
  <c r="J81" i="1"/>
  <c r="AK4" i="75" l="1"/>
  <c r="O1" i="75"/>
  <c r="L2" i="75"/>
  <c r="L1" i="75"/>
  <c r="G1" i="75"/>
  <c r="P1" i="75" s="1"/>
  <c r="D1" i="75"/>
  <c r="M1" i="75" s="1"/>
  <c r="AG6" i="75"/>
  <c r="AH6" i="75"/>
  <c r="AI6" i="75"/>
  <c r="AJ6" i="75"/>
  <c r="AG7" i="75"/>
  <c r="AH7" i="75"/>
  <c r="AI7" i="75"/>
  <c r="AJ7" i="75"/>
  <c r="M6" i="75"/>
  <c r="N6" i="75"/>
  <c r="O6" i="75"/>
  <c r="P6" i="75"/>
  <c r="M7" i="75"/>
  <c r="N7" i="75"/>
  <c r="O7" i="75"/>
  <c r="P7" i="75"/>
  <c r="L7" i="75"/>
  <c r="L6" i="75"/>
  <c r="L5" i="75"/>
  <c r="L4" i="75"/>
  <c r="AE7" i="75"/>
  <c r="AD7" i="75"/>
  <c r="AC7" i="75"/>
  <c r="AB7" i="75"/>
  <c r="AA7" i="75"/>
  <c r="Z7" i="75"/>
  <c r="Y7" i="75"/>
  <c r="X7" i="75"/>
  <c r="W7" i="75"/>
  <c r="V7" i="75"/>
  <c r="U7" i="75"/>
  <c r="T7" i="75"/>
  <c r="S7" i="75"/>
  <c r="R7" i="75"/>
  <c r="Q7" i="75"/>
  <c r="AF7" i="75"/>
  <c r="AF6" i="75"/>
  <c r="AF5" i="75"/>
  <c r="AF4" i="75"/>
  <c r="B107" i="75"/>
  <c r="B108" i="75"/>
  <c r="B109" i="75"/>
  <c r="B110" i="75"/>
  <c r="B111" i="75"/>
  <c r="B112" i="75"/>
  <c r="B113" i="75"/>
  <c r="B114" i="75"/>
  <c r="B115" i="75"/>
  <c r="B116" i="75"/>
  <c r="B106" i="75"/>
  <c r="CR3" i="6"/>
  <c r="CR4" i="6"/>
  <c r="CR5" i="6"/>
  <c r="CR6" i="6"/>
  <c r="CR7" i="6"/>
  <c r="CR8" i="6"/>
  <c r="CR9" i="6"/>
  <c r="CR10" i="6"/>
  <c r="CR11" i="6"/>
  <c r="CR12" i="6"/>
  <c r="CR13" i="6"/>
  <c r="CR14" i="6"/>
  <c r="CR15" i="6"/>
  <c r="CR16" i="6"/>
  <c r="CR17" i="6"/>
  <c r="CR18" i="6"/>
  <c r="CR19" i="6"/>
  <c r="CR20" i="6"/>
  <c r="CR21" i="6"/>
  <c r="CR22" i="6"/>
  <c r="CR23" i="6"/>
  <c r="CR24" i="6"/>
  <c r="CR25" i="6"/>
  <c r="CR26" i="6"/>
  <c r="CR27" i="6"/>
  <c r="CR28" i="6"/>
  <c r="CR29" i="6"/>
  <c r="CR30" i="6"/>
  <c r="CR31" i="6"/>
  <c r="CR32" i="6"/>
  <c r="CR33" i="6"/>
  <c r="CR34" i="6"/>
  <c r="CR35" i="6"/>
  <c r="CR36" i="6"/>
  <c r="CR37" i="6"/>
  <c r="CR38" i="6"/>
  <c r="CR39" i="6"/>
  <c r="CR40" i="6"/>
  <c r="CR41" i="6"/>
  <c r="CR42" i="6"/>
  <c r="CR43" i="6"/>
  <c r="CR44" i="6"/>
  <c r="CR45" i="6"/>
  <c r="CR46" i="6"/>
  <c r="CR47" i="6"/>
  <c r="CR48" i="6"/>
  <c r="CR49" i="6"/>
  <c r="CR50" i="6"/>
  <c r="CR51" i="6"/>
  <c r="CR52" i="6"/>
  <c r="CR53" i="6"/>
  <c r="CR54" i="6"/>
  <c r="CR55" i="6"/>
  <c r="CR56" i="6"/>
  <c r="CR57" i="6"/>
  <c r="CR58" i="6"/>
  <c r="CR59" i="6"/>
  <c r="CR60" i="6"/>
  <c r="CR61" i="6"/>
  <c r="CR62" i="6"/>
  <c r="CR63" i="6"/>
  <c r="CR64" i="6"/>
  <c r="CR65" i="6"/>
  <c r="CR66" i="6"/>
  <c r="CR67" i="6"/>
  <c r="CR68" i="6"/>
  <c r="CR69" i="6"/>
  <c r="CR70" i="6"/>
  <c r="CR71" i="6"/>
  <c r="CR72" i="6"/>
  <c r="CR73" i="6"/>
  <c r="CR74" i="6"/>
  <c r="CR75" i="6"/>
  <c r="CR76" i="6"/>
  <c r="CR77" i="6"/>
  <c r="CR78" i="6"/>
  <c r="CR79" i="6"/>
  <c r="CR80" i="6"/>
  <c r="CR81" i="6"/>
  <c r="CR2" i="6"/>
  <c r="A33" i="1" l="1"/>
  <c r="A28" i="1"/>
  <c r="AH66" i="1"/>
  <c r="AF66" i="1"/>
  <c r="AB66" i="1"/>
  <c r="S66" i="1"/>
  <c r="AG62" i="1"/>
  <c r="AD62" i="1"/>
  <c r="AF83" i="1" l="1"/>
  <c r="S84" i="1"/>
  <c r="P3" i="72"/>
  <c r="P2" i="72"/>
  <c r="P1" i="72"/>
  <c r="P3" i="73"/>
  <c r="P2" i="73"/>
  <c r="P1" i="73"/>
  <c r="P3" i="68"/>
  <c r="P2" i="68"/>
  <c r="P1" i="68"/>
  <c r="AL118" i="1"/>
  <c r="P1" i="59"/>
  <c r="O1" i="59"/>
  <c r="N1" i="59"/>
  <c r="P1" i="42"/>
  <c r="AN116" i="1" s="1"/>
  <c r="O1" i="42"/>
  <c r="AM116" i="1" s="1"/>
  <c r="Q2" i="42"/>
  <c r="R2" i="42"/>
  <c r="S2" i="42"/>
  <c r="T2" i="42"/>
  <c r="U2" i="42"/>
  <c r="P2" i="42"/>
  <c r="N1" i="42"/>
  <c r="AL116" i="1" s="1"/>
  <c r="A1" i="3"/>
  <c r="A2" i="42"/>
  <c r="A2" i="59"/>
  <c r="A2" i="68"/>
  <c r="A2" i="73"/>
  <c r="A2" i="72"/>
  <c r="E1" i="19"/>
  <c r="P59" i="1"/>
  <c r="S81" i="1"/>
  <c r="AI59" i="1"/>
  <c r="AG58" i="1"/>
  <c r="V59" i="1"/>
  <c r="V58" i="1"/>
  <c r="G59" i="1"/>
  <c r="D59" i="1"/>
  <c r="D58" i="1"/>
  <c r="G58" i="1"/>
  <c r="AE55" i="1"/>
  <c r="X55" i="1"/>
  <c r="G55" i="1"/>
  <c r="O54" i="1"/>
  <c r="J54" i="1"/>
  <c r="F54" i="1"/>
  <c r="AG1" i="1"/>
  <c r="AJ4" i="1" s="1"/>
  <c r="A29" i="1"/>
  <c r="A32" i="1"/>
  <c r="A31" i="1"/>
  <c r="A30" i="1"/>
  <c r="T80" i="6"/>
  <c r="R62" i="6"/>
  <c r="Y6" i="1"/>
  <c r="O6" i="1"/>
  <c r="L6" i="1"/>
  <c r="L5" i="1"/>
  <c r="L4" i="1"/>
  <c r="AK113" i="1"/>
  <c r="AG81" i="1" l="1"/>
  <c r="AB81" i="1"/>
  <c r="AC73" i="1"/>
  <c r="AC75" i="1"/>
  <c r="AC74" i="1"/>
  <c r="AC76" i="1"/>
  <c r="AJ6" i="1"/>
  <c r="H88" i="1"/>
  <c r="B14" i="9" s="1"/>
  <c r="H87" i="1"/>
  <c r="H86" i="1"/>
  <c r="AG2" i="1"/>
  <c r="B15" i="9" l="1"/>
  <c r="C3" i="82"/>
  <c r="D2" i="75"/>
  <c r="M2" i="75" s="1"/>
  <c r="B13" i="9"/>
  <c r="A10" i="14"/>
  <c r="A9" i="14"/>
  <c r="A3" i="14"/>
  <c r="L3" i="1"/>
  <c r="F2" i="75"/>
  <c r="O2" i="75" s="1"/>
  <c r="O1" i="1"/>
  <c r="F2" i="72"/>
  <c r="F2" i="73"/>
  <c r="E2" i="59"/>
  <c r="E2" i="42"/>
  <c r="G1" i="19"/>
  <c r="F2" i="68"/>
  <c r="B1" i="3"/>
  <c r="P58" i="1"/>
  <c r="A84" i="1"/>
  <c r="AA115" i="7"/>
  <c r="AA114" i="7"/>
  <c r="A90" i="7"/>
  <c r="B27" i="82" l="1"/>
  <c r="B11" i="82"/>
  <c r="B15" i="82"/>
  <c r="B19" i="82"/>
  <c r="B23" i="82"/>
  <c r="B10" i="82"/>
  <c r="B14" i="82"/>
  <c r="B18" i="82"/>
  <c r="B22" i="82"/>
  <c r="B26" i="82"/>
  <c r="BJ3" i="7"/>
  <c r="BI3" i="7"/>
  <c r="AL1" i="7"/>
  <c r="AN16" i="7"/>
  <c r="AN15" i="7"/>
  <c r="B76" i="82" l="1"/>
  <c r="B46" i="82"/>
  <c r="B68" i="82"/>
  <c r="B38" i="82"/>
  <c r="B102" i="82"/>
  <c r="B30" i="82"/>
  <c r="B60" i="82"/>
  <c r="B80" i="82" s="1"/>
  <c r="B69" i="82"/>
  <c r="B39" i="82"/>
  <c r="B61" i="82"/>
  <c r="B81" i="82" s="1"/>
  <c r="C102" i="82"/>
  <c r="R102" i="82" s="1"/>
  <c r="B31" i="82"/>
  <c r="R102" i="80"/>
  <c r="R102" i="81"/>
  <c r="B72" i="82"/>
  <c r="B42" i="82"/>
  <c r="B64" i="82"/>
  <c r="B34" i="82"/>
  <c r="B73" i="82"/>
  <c r="B43" i="82"/>
  <c r="B65" i="82"/>
  <c r="B35" i="82"/>
  <c r="B47" i="82"/>
  <c r="B77" i="82"/>
  <c r="AE6" i="75"/>
  <c r="AD6" i="75"/>
  <c r="AC6" i="75"/>
  <c r="AB6" i="75"/>
  <c r="AA6" i="75"/>
  <c r="AA5" i="75"/>
  <c r="AB5" i="75" s="1"/>
  <c r="AC5" i="75" s="1"/>
  <c r="AD5" i="75" s="1"/>
  <c r="AE5" i="75" s="1"/>
  <c r="AA4" i="75"/>
  <c r="AB4" i="75" s="1"/>
  <c r="AC4" i="75" s="1"/>
  <c r="AD4" i="75" s="1"/>
  <c r="AE4" i="75" s="1"/>
  <c r="Z6" i="75"/>
  <c r="Y6" i="75"/>
  <c r="X6" i="75"/>
  <c r="W6" i="75"/>
  <c r="V6" i="75"/>
  <c r="V5" i="75"/>
  <c r="W5" i="75" s="1"/>
  <c r="X5" i="75" s="1"/>
  <c r="Y5" i="75" s="1"/>
  <c r="Z5" i="75" s="1"/>
  <c r="V4" i="75"/>
  <c r="W4" i="75" s="1"/>
  <c r="X4" i="75" s="1"/>
  <c r="Y4" i="75" s="1"/>
  <c r="Z4" i="75" s="1"/>
  <c r="U6" i="75"/>
  <c r="T6" i="75"/>
  <c r="S6" i="75"/>
  <c r="R6" i="75"/>
  <c r="Q6" i="75"/>
  <c r="Q5" i="75"/>
  <c r="R5" i="75" s="1"/>
  <c r="S5" i="75" s="1"/>
  <c r="T5" i="75" s="1"/>
  <c r="U5" i="75" s="1"/>
  <c r="Q4" i="75"/>
  <c r="R4" i="75" s="1"/>
  <c r="S4" i="75" s="1"/>
  <c r="T4" i="75" s="1"/>
  <c r="U4" i="75" s="1"/>
  <c r="AB3" i="75"/>
  <c r="AC3" i="75" s="1"/>
  <c r="AD3" i="75" s="1"/>
  <c r="AE3" i="75" s="1"/>
  <c r="AG3" i="75" s="1"/>
  <c r="AH3" i="75" s="1"/>
  <c r="AI3" i="75" s="1"/>
  <c r="AJ3" i="75" s="1"/>
  <c r="W3" i="75"/>
  <c r="X3" i="75" s="1"/>
  <c r="Y3" i="75" s="1"/>
  <c r="Z3" i="75" s="1"/>
  <c r="R3" i="75"/>
  <c r="S3" i="75" s="1"/>
  <c r="T3" i="75" s="1"/>
  <c r="U3" i="75" s="1"/>
  <c r="M5" i="75"/>
  <c r="N5" i="75" s="1"/>
  <c r="O5" i="75" s="1"/>
  <c r="P5" i="75" s="1"/>
  <c r="M4" i="75"/>
  <c r="N4" i="75" s="1"/>
  <c r="O4" i="75" s="1"/>
  <c r="P4" i="75" s="1"/>
  <c r="M3" i="75"/>
  <c r="N3" i="75" s="1"/>
  <c r="O3" i="75" s="1"/>
  <c r="P3" i="75" s="1"/>
  <c r="J5" i="75"/>
  <c r="K5" i="75" s="1"/>
  <c r="J4" i="75"/>
  <c r="K4" i="75" s="1"/>
  <c r="G5" i="75"/>
  <c r="H5" i="75" s="1"/>
  <c r="G4" i="75"/>
  <c r="H4" i="75" s="1"/>
  <c r="D4" i="75"/>
  <c r="E4" i="75" s="1"/>
  <c r="B13" i="75"/>
  <c r="B12" i="75"/>
  <c r="B11" i="75"/>
  <c r="B10" i="75"/>
  <c r="B9" i="75"/>
  <c r="D5" i="75"/>
  <c r="E5" i="75" s="1"/>
  <c r="O6" i="73"/>
  <c r="N6" i="73"/>
  <c r="O6" i="72"/>
  <c r="N6" i="72"/>
  <c r="O6" i="68"/>
  <c r="N6" i="68"/>
  <c r="J2" i="72"/>
  <c r="J2" i="73"/>
  <c r="J2" i="68"/>
  <c r="M5" i="59"/>
  <c r="L5" i="59"/>
  <c r="H2" i="59"/>
  <c r="M5" i="42"/>
  <c r="L5" i="42"/>
  <c r="H2" i="42"/>
  <c r="C103" i="82" l="1"/>
  <c r="R103" i="82" s="1"/>
  <c r="B85" i="82"/>
  <c r="C105" i="82"/>
  <c r="R105" i="82" s="1"/>
  <c r="B93" i="82"/>
  <c r="B84" i="82"/>
  <c r="B103" i="82"/>
  <c r="B92" i="82"/>
  <c r="B105" i="82"/>
  <c r="R104" i="80"/>
  <c r="B89" i="82"/>
  <c r="C104" i="82"/>
  <c r="R104" i="82" s="1"/>
  <c r="R103" i="81"/>
  <c r="R105" i="81"/>
  <c r="B97" i="82"/>
  <c r="C106" i="82"/>
  <c r="R106" i="82" s="1"/>
  <c r="R106" i="81"/>
  <c r="R104" i="81"/>
  <c r="R106" i="80"/>
  <c r="B104" i="82"/>
  <c r="B88" i="82"/>
  <c r="B106" i="82"/>
  <c r="B96" i="82"/>
  <c r="R103" i="80"/>
  <c r="R105" i="80"/>
  <c r="AG4" i="75"/>
  <c r="AH4" i="75" s="1"/>
  <c r="AI4" i="75" s="1"/>
  <c r="AJ4" i="75" s="1"/>
  <c r="AG5" i="75"/>
  <c r="AH5" i="75" s="1"/>
  <c r="AI5" i="75" s="1"/>
  <c r="AJ5" i="75" s="1"/>
  <c r="U72" i="1" l="1"/>
  <c r="T72" i="1"/>
  <c r="H93" i="7"/>
  <c r="H92" i="7"/>
  <c r="H91" i="7"/>
  <c r="H90" i="7"/>
  <c r="H89" i="7"/>
  <c r="S72" i="1" l="1"/>
  <c r="N4" i="68"/>
  <c r="S74" i="1"/>
  <c r="N4" i="72"/>
  <c r="S76" i="1"/>
  <c r="S73" i="1"/>
  <c r="N4" i="73"/>
  <c r="S75" i="1"/>
  <c r="B22" i="75"/>
  <c r="B21" i="75"/>
  <c r="B20" i="75"/>
  <c r="B19" i="75"/>
  <c r="B18" i="75"/>
  <c r="B17" i="75"/>
  <c r="B16" i="75"/>
  <c r="B15" i="75"/>
  <c r="B14" i="75"/>
  <c r="B24" i="75"/>
  <c r="B23" i="75"/>
  <c r="B10" i="1"/>
  <c r="B11" i="1"/>
  <c r="B12" i="1"/>
  <c r="B13" i="1"/>
  <c r="B14" i="1"/>
  <c r="B15" i="1"/>
  <c r="B16" i="1"/>
  <c r="B17" i="1"/>
  <c r="B18" i="1"/>
  <c r="B19" i="1"/>
  <c r="B20" i="1"/>
  <c r="B21" i="1"/>
  <c r="B22" i="1"/>
  <c r="B23" i="1"/>
  <c r="B24" i="1"/>
  <c r="B9" i="1"/>
  <c r="AE75" i="1" l="1"/>
  <c r="AI75" i="1"/>
  <c r="AG75" i="1"/>
  <c r="AE73" i="1"/>
  <c r="AG73" i="1"/>
  <c r="AI73" i="1"/>
  <c r="AI74" i="1"/>
  <c r="AG74" i="1"/>
  <c r="AE74" i="1"/>
  <c r="AI72" i="1"/>
  <c r="AG72" i="1"/>
  <c r="AE72" i="1"/>
  <c r="AI76" i="1"/>
  <c r="AG76" i="1"/>
  <c r="AE76" i="1"/>
  <c r="A71" i="7"/>
  <c r="AI27" i="1" l="1"/>
  <c r="AB26" i="1"/>
  <c r="U69" i="1"/>
  <c r="T69" i="1"/>
  <c r="C69" i="1"/>
  <c r="B69" i="1"/>
  <c r="U68" i="1"/>
  <c r="T68" i="1"/>
  <c r="C68" i="1"/>
  <c r="B68" i="1"/>
  <c r="U67" i="1"/>
  <c r="T67" i="1"/>
  <c r="C67" i="1"/>
  <c r="B67" i="1"/>
  <c r="H70" i="7" l="1"/>
  <c r="L4" i="42" s="1"/>
  <c r="H71" i="7"/>
  <c r="L4" i="59" s="1"/>
  <c r="H72" i="7"/>
  <c r="H73" i="7"/>
  <c r="H74" i="7"/>
  <c r="H75" i="7"/>
  <c r="Z8" i="1" l="1"/>
  <c r="W6" i="59"/>
  <c r="V6" i="59"/>
  <c r="U6" i="59"/>
  <c r="T6" i="59"/>
  <c r="S6" i="59"/>
  <c r="R6" i="59"/>
  <c r="W4" i="59"/>
  <c r="V4" i="59"/>
  <c r="U4" i="59"/>
  <c r="T4" i="59"/>
  <c r="S4" i="59"/>
  <c r="R4" i="59"/>
  <c r="W3" i="59"/>
  <c r="V3" i="59"/>
  <c r="U3" i="59"/>
  <c r="T3" i="59"/>
  <c r="S3" i="59"/>
  <c r="R3" i="59"/>
  <c r="Q3" i="42"/>
  <c r="R3" i="42"/>
  <c r="S3" i="42"/>
  <c r="T3" i="42"/>
  <c r="U3" i="42"/>
  <c r="Q5" i="42"/>
  <c r="R5" i="42"/>
  <c r="S5" i="42"/>
  <c r="T5" i="42"/>
  <c r="U5" i="42"/>
  <c r="P5" i="42"/>
  <c r="P3" i="42"/>
  <c r="V103" i="44" l="1"/>
  <c r="V104" i="44"/>
  <c r="T105" i="44"/>
  <c r="T106" i="44"/>
  <c r="T107" i="44"/>
  <c r="S103" i="44"/>
  <c r="U103" i="44"/>
  <c r="S104" i="44"/>
  <c r="U104" i="44"/>
  <c r="S105" i="44"/>
  <c r="U105" i="44"/>
  <c r="S106" i="44"/>
  <c r="U106" i="44"/>
  <c r="S107" i="44"/>
  <c r="U107" i="44"/>
  <c r="T103" i="44"/>
  <c r="T104" i="44"/>
  <c r="V105" i="44"/>
  <c r="V106" i="44"/>
  <c r="V107" i="44"/>
  <c r="A70" i="6"/>
  <c r="A71" i="6"/>
  <c r="A72" i="6"/>
  <c r="A73" i="6"/>
  <c r="A74" i="6"/>
  <c r="A75" i="6"/>
  <c r="A76" i="6"/>
  <c r="A77" i="6"/>
  <c r="A78" i="6"/>
  <c r="A79" i="6"/>
  <c r="A80" i="6"/>
  <c r="A81" i="6"/>
  <c r="Q94" i="6"/>
  <c r="B79" i="1"/>
  <c r="C79" i="1"/>
  <c r="B80" i="1"/>
  <c r="C80" i="1"/>
  <c r="S69" i="1"/>
  <c r="AN3" i="7"/>
  <c r="AN4" i="7"/>
  <c r="AN5" i="7"/>
  <c r="AN6" i="7"/>
  <c r="AN7" i="7"/>
  <c r="AN8" i="7"/>
  <c r="AN9" i="7"/>
  <c r="AN10" i="7"/>
  <c r="AN11" i="7"/>
  <c r="AN12" i="7"/>
  <c r="AN13" i="7"/>
  <c r="AN14" i="7"/>
  <c r="AN2" i="7"/>
  <c r="W103" i="44" l="1"/>
  <c r="G9" i="9" s="1"/>
  <c r="B83" i="9" s="1"/>
  <c r="W107" i="44"/>
  <c r="K9" i="9" s="1"/>
  <c r="B87" i="9" s="1"/>
  <c r="W106" i="44"/>
  <c r="J9" i="9" s="1"/>
  <c r="B86" i="9" s="1"/>
  <c r="W105" i="44"/>
  <c r="I9" i="9" s="1"/>
  <c r="B85" i="9" s="1"/>
  <c r="W104" i="44"/>
  <c r="H9" i="9" s="1"/>
  <c r="B84" i="9" s="1"/>
  <c r="K10" i="9"/>
  <c r="J10" i="9"/>
  <c r="I10" i="9"/>
  <c r="H10" i="9"/>
  <c r="G10" i="9"/>
  <c r="AH69" i="1"/>
  <c r="AB69" i="1"/>
  <c r="AF69" i="1"/>
  <c r="AM1" i="7"/>
  <c r="A87" i="9" l="1"/>
  <c r="A95" i="9" s="1"/>
  <c r="A103" i="9" s="1"/>
  <c r="A111" i="9" s="1"/>
  <c r="A119" i="9" s="1"/>
  <c r="A127" i="9" s="1"/>
  <c r="A135" i="9" s="1"/>
  <c r="A143" i="9" s="1"/>
  <c r="A151" i="9" s="1"/>
  <c r="A159" i="9" s="1"/>
  <c r="R107" i="44"/>
  <c r="A83" i="9"/>
  <c r="A91" i="9" s="1"/>
  <c r="A99" i="9" s="1"/>
  <c r="A107" i="9" s="1"/>
  <c r="A115" i="9" s="1"/>
  <c r="A123" i="9" s="1"/>
  <c r="A131" i="9" s="1"/>
  <c r="A139" i="9" s="1"/>
  <c r="A147" i="9" s="1"/>
  <c r="A155" i="9" s="1"/>
  <c r="R103" i="44"/>
  <c r="AU5" i="7"/>
  <c r="AL70" i="7" s="1"/>
  <c r="AU7" i="7"/>
  <c r="AU9" i="7"/>
  <c r="AU11" i="7"/>
  <c r="AU14" i="7"/>
  <c r="AU16" i="7"/>
  <c r="AU18" i="7"/>
  <c r="R12" i="7" s="1"/>
  <c r="AU3" i="7"/>
  <c r="AU12" i="7"/>
  <c r="AU6" i="7"/>
  <c r="AL71" i="7" s="1"/>
  <c r="AU8" i="7"/>
  <c r="AU10" i="7"/>
  <c r="AU13" i="7"/>
  <c r="AU15" i="7"/>
  <c r="AL87" i="7" s="1"/>
  <c r="AU17" i="7"/>
  <c r="AU19" i="7"/>
  <c r="AU4" i="7"/>
  <c r="AL69" i="7" s="1"/>
  <c r="S68" i="1"/>
  <c r="A69" i="1"/>
  <c r="A68" i="1"/>
  <c r="AL75" i="7" l="1"/>
  <c r="AJ83" i="7"/>
  <c r="AL76" i="7"/>
  <c r="AJ84" i="7"/>
  <c r="AL72" i="7"/>
  <c r="AJ80" i="7"/>
  <c r="AL78" i="7"/>
  <c r="AJ86" i="7"/>
  <c r="AL73" i="7"/>
  <c r="AJ81" i="7"/>
  <c r="AL77" i="7"/>
  <c r="AJ85" i="7"/>
  <c r="AL79" i="7"/>
  <c r="AJ87" i="7"/>
  <c r="AL74" i="7"/>
  <c r="AJ82" i="7"/>
  <c r="A86" i="9"/>
  <c r="A94" i="9" s="1"/>
  <c r="A102" i="9" s="1"/>
  <c r="A110" i="9" s="1"/>
  <c r="A118" i="9" s="1"/>
  <c r="A126" i="9" s="1"/>
  <c r="A134" i="9" s="1"/>
  <c r="A142" i="9" s="1"/>
  <c r="A150" i="9" s="1"/>
  <c r="A158" i="9" s="1"/>
  <c r="R106" i="44"/>
  <c r="A85" i="9"/>
  <c r="A93" i="9" s="1"/>
  <c r="A101" i="9" s="1"/>
  <c r="A109" i="9" s="1"/>
  <c r="A117" i="9" s="1"/>
  <c r="A125" i="9" s="1"/>
  <c r="A133" i="9" s="1"/>
  <c r="A141" i="9" s="1"/>
  <c r="A149" i="9" s="1"/>
  <c r="A157" i="9" s="1"/>
  <c r="R105" i="44"/>
  <c r="A84" i="9"/>
  <c r="A92" i="9" s="1"/>
  <c r="A100" i="9" s="1"/>
  <c r="A108" i="9" s="1"/>
  <c r="A116" i="9" s="1"/>
  <c r="A124" i="9" s="1"/>
  <c r="A132" i="9" s="1"/>
  <c r="A140" i="9" s="1"/>
  <c r="A148" i="9" s="1"/>
  <c r="A156" i="9" s="1"/>
  <c r="R104" i="44"/>
  <c r="J68" i="1"/>
  <c r="N68" i="1"/>
  <c r="P68" i="1"/>
  <c r="AH68" i="1"/>
  <c r="AB68" i="1"/>
  <c r="AF68" i="1"/>
  <c r="P69" i="1"/>
  <c r="N69" i="1"/>
  <c r="J69" i="1"/>
  <c r="S67" i="1"/>
  <c r="Y66" i="1"/>
  <c r="AH67" i="1" l="1"/>
  <c r="AB67" i="1"/>
  <c r="AF67" i="1"/>
  <c r="J80" i="1" l="1"/>
  <c r="J11" i="19" l="1"/>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6" i="19"/>
  <c r="J7" i="19"/>
  <c r="J8" i="19"/>
  <c r="J9" i="19"/>
  <c r="J10" i="19"/>
  <c r="C63" i="1" l="1"/>
  <c r="C64" i="1"/>
  <c r="J59" i="1" l="1"/>
  <c r="B25" i="1"/>
  <c r="A64" i="1"/>
  <c r="S64" i="1" s="1"/>
  <c r="A63" i="1"/>
  <c r="S63" i="1" s="1"/>
  <c r="A14" i="1"/>
  <c r="A15" i="1"/>
  <c r="A16" i="1"/>
  <c r="A17" i="1"/>
  <c r="A18" i="1"/>
  <c r="A19" i="1"/>
  <c r="A20" i="1"/>
  <c r="A21" i="1"/>
  <c r="A22" i="1"/>
  <c r="A23" i="1"/>
  <c r="A24" i="1"/>
  <c r="A62" i="1"/>
  <c r="S62" i="1" s="1"/>
  <c r="A9" i="1"/>
  <c r="A10" i="1"/>
  <c r="A11" i="1"/>
  <c r="A12" i="1"/>
  <c r="A13" i="1"/>
  <c r="A25" i="1"/>
  <c r="B40" i="7"/>
  <c r="Y9" i="1"/>
  <c r="O9" i="1"/>
  <c r="Y8" i="1"/>
  <c r="A5" i="19"/>
  <c r="Q1" i="6"/>
  <c r="AA26" i="1"/>
  <c r="J5" i="19"/>
  <c r="P63" i="1"/>
  <c r="M63" i="1"/>
  <c r="AA63" i="1" s="1"/>
  <c r="I63" i="1"/>
  <c r="R68" i="6"/>
  <c r="R74" i="6" s="1"/>
  <c r="R80" i="6" s="1"/>
  <c r="AJ69" i="6"/>
  <c r="AK69" i="6"/>
  <c r="AL69" i="6"/>
  <c r="AM69" i="6"/>
  <c r="AN69" i="6"/>
  <c r="AO69" i="6"/>
  <c r="AP69" i="6"/>
  <c r="AQ69" i="6"/>
  <c r="AR69" i="6"/>
  <c r="AS69" i="6"/>
  <c r="AT69" i="6"/>
  <c r="AU69" i="6"/>
  <c r="AV69" i="6"/>
  <c r="AW69" i="6"/>
  <c r="K70" i="6"/>
  <c r="M64" i="1"/>
  <c r="AA64" i="1" s="1"/>
  <c r="M62" i="1"/>
  <c r="AA62" i="1" s="1"/>
  <c r="Z2" i="1"/>
  <c r="AC2" i="1" s="1"/>
  <c r="B39" i="7"/>
  <c r="C26" i="1" s="1"/>
  <c r="V44" i="7"/>
  <c r="T45" i="7"/>
  <c r="P64" i="1"/>
  <c r="P62" i="1"/>
  <c r="I64" i="1"/>
  <c r="I62" i="1"/>
  <c r="C62" i="1"/>
  <c r="A6" i="19" l="1"/>
  <c r="C6" i="19" s="1"/>
  <c r="A27" i="14"/>
  <c r="A6" i="59"/>
  <c r="C6" i="59" s="1"/>
  <c r="A7" i="73"/>
  <c r="C7" i="73" s="1"/>
  <c r="A7" i="72"/>
  <c r="C7" i="72" s="1"/>
  <c r="A7" i="68"/>
  <c r="C7" i="68" s="1"/>
  <c r="A6" i="42"/>
  <c r="C6" i="42" s="1"/>
  <c r="AJ30" i="1"/>
  <c r="AJ31" i="1"/>
  <c r="B16" i="9"/>
  <c r="C6" i="82"/>
  <c r="C56" i="82" s="1"/>
  <c r="E2" i="6"/>
  <c r="A25" i="14"/>
  <c r="A24" i="14"/>
  <c r="A20" i="14"/>
  <c r="A16" i="14"/>
  <c r="A12" i="14"/>
  <c r="A7" i="14"/>
  <c r="A21" i="14"/>
  <c r="A17" i="14"/>
  <c r="A13" i="14"/>
  <c r="A22" i="14"/>
  <c r="A18" i="14"/>
  <c r="A14" i="14"/>
  <c r="A23" i="14"/>
  <c r="A19" i="14"/>
  <c r="A15" i="14"/>
  <c r="A11" i="14"/>
  <c r="X45" i="7"/>
  <c r="C5" i="19"/>
  <c r="H2" i="72"/>
  <c r="H2" i="73"/>
  <c r="H2" i="68"/>
  <c r="F2" i="59"/>
  <c r="F2" i="42"/>
  <c r="I1" i="19"/>
  <c r="W1" i="1"/>
  <c r="A26" i="1"/>
  <c r="J58" i="1"/>
  <c r="A6" i="1"/>
  <c r="O49" i="6"/>
  <c r="E3" i="6"/>
  <c r="AV66" i="6"/>
  <c r="AV72" i="6" s="1"/>
  <c r="AU66" i="6"/>
  <c r="AU72" i="6" s="1"/>
  <c r="AW66" i="6"/>
  <c r="AW72" i="6" s="1"/>
  <c r="AO66" i="6"/>
  <c r="AO72" i="6" s="1"/>
  <c r="AN66" i="6"/>
  <c r="AM66" i="6"/>
  <c r="AM72" i="6" s="1"/>
  <c r="AS66" i="6"/>
  <c r="AS78" i="6" s="1"/>
  <c r="AR66" i="6"/>
  <c r="AR72" i="6" s="1"/>
  <c r="AQ66" i="6"/>
  <c r="AQ72" i="6" s="1"/>
  <c r="AK66" i="6"/>
  <c r="AK72" i="6" s="1"/>
  <c r="AT66" i="6"/>
  <c r="AT72" i="6" s="1"/>
  <c r="AP66" i="6"/>
  <c r="AP72" i="6" s="1"/>
  <c r="AL66" i="6"/>
  <c r="AL72" i="6" s="1"/>
  <c r="AJ66" i="6"/>
  <c r="AJ72" i="6" s="1"/>
  <c r="AV75" i="6"/>
  <c r="AW75" i="6"/>
  <c r="AK75" i="6"/>
  <c r="AM75" i="6"/>
  <c r="AO75" i="6"/>
  <c r="AQ75" i="6"/>
  <c r="AS75" i="6"/>
  <c r="AU75" i="6"/>
  <c r="AJ75" i="6"/>
  <c r="AL75" i="6"/>
  <c r="AN75" i="6"/>
  <c r="AP75" i="6"/>
  <c r="AR75" i="6"/>
  <c r="AT75" i="6"/>
  <c r="AS72" i="6" l="1"/>
  <c r="A7" i="42"/>
  <c r="C7" i="42" s="1"/>
  <c r="A8" i="72"/>
  <c r="C8" i="72" s="1"/>
  <c r="B3" i="6"/>
  <c r="C3" i="6" s="1"/>
  <c r="A8" i="68"/>
  <c r="C8" i="68" s="1"/>
  <c r="A8" i="73"/>
  <c r="C8" i="73" s="1"/>
  <c r="A7" i="59"/>
  <c r="C7" i="59" s="1"/>
  <c r="A28" i="14"/>
  <c r="E4" i="6"/>
  <c r="B5" i="19"/>
  <c r="AT58" i="6"/>
  <c r="AU58" i="6"/>
  <c r="B2" i="6"/>
  <c r="C2" i="6" s="1"/>
  <c r="CS2" i="6"/>
  <c r="B6" i="59"/>
  <c r="B7" i="72"/>
  <c r="B7" i="73"/>
  <c r="B7" i="68"/>
  <c r="B6" i="42"/>
  <c r="B9" i="72"/>
  <c r="CS3" i="6"/>
  <c r="B7" i="59"/>
  <c r="B8" i="73"/>
  <c r="B8" i="72"/>
  <c r="B8" i="68"/>
  <c r="B7" i="42"/>
  <c r="L2" i="6"/>
  <c r="A2" i="6" s="1"/>
  <c r="B6" i="19"/>
  <c r="AV78" i="6"/>
  <c r="AM78" i="6"/>
  <c r="AQ78" i="6"/>
  <c r="F33" i="1"/>
  <c r="F28" i="1"/>
  <c r="AL78" i="6"/>
  <c r="AM84" i="6" s="1"/>
  <c r="AM89" i="6" s="1"/>
  <c r="Y32" i="1" s="1"/>
  <c r="AW78" i="6"/>
  <c r="L3" i="6"/>
  <c r="A3" i="6" s="1"/>
  <c r="AR58" i="6"/>
  <c r="O50" i="6"/>
  <c r="AS58" i="6"/>
  <c r="O27" i="6"/>
  <c r="AK78" i="6"/>
  <c r="AR78" i="6"/>
  <c r="AS84" i="6" s="1"/>
  <c r="AS89" i="6" s="1"/>
  <c r="AE32" i="1" s="1"/>
  <c r="AS81" i="6"/>
  <c r="AS86" i="6" s="1"/>
  <c r="AE29" i="1" s="1"/>
  <c r="AO81" i="6"/>
  <c r="AO86" i="6" s="1"/>
  <c r="AA29" i="1" s="1"/>
  <c r="AK81" i="6"/>
  <c r="AK86" i="6" s="1"/>
  <c r="W29" i="1" s="1"/>
  <c r="AV81" i="6"/>
  <c r="AV86" i="6" s="1"/>
  <c r="AH29" i="1" s="1"/>
  <c r="AP78" i="6"/>
  <c r="AU78" i="6"/>
  <c r="AO78" i="6"/>
  <c r="AN78" i="6"/>
  <c r="AN72" i="6"/>
  <c r="AJ78" i="6"/>
  <c r="AT78" i="6"/>
  <c r="AW81" i="6"/>
  <c r="AW86" i="6" s="1"/>
  <c r="AU81" i="6"/>
  <c r="AU86" i="6" s="1"/>
  <c r="AG29" i="1" s="1"/>
  <c r="AQ81" i="6"/>
  <c r="AQ86" i="6" s="1"/>
  <c r="AC29" i="1" s="1"/>
  <c r="AM81" i="6"/>
  <c r="AM86" i="6" s="1"/>
  <c r="Y29" i="1" s="1"/>
  <c r="B4" i="6"/>
  <c r="C4" i="6" s="1"/>
  <c r="AT81" i="6"/>
  <c r="AT86" i="6" s="1"/>
  <c r="AF29" i="1" s="1"/>
  <c r="AP81" i="6"/>
  <c r="AP86" i="6" s="1"/>
  <c r="AB29" i="1" s="1"/>
  <c r="AL81" i="6"/>
  <c r="AL86" i="6" s="1"/>
  <c r="X29" i="1" s="1"/>
  <c r="AR81" i="6"/>
  <c r="AR86" i="6" s="1"/>
  <c r="AD29" i="1" s="1"/>
  <c r="AN81" i="6"/>
  <c r="AN86" i="6" s="1"/>
  <c r="Z29" i="1" s="1"/>
  <c r="B9" i="68" l="1"/>
  <c r="CS4" i="6"/>
  <c r="D8" i="42" s="1"/>
  <c r="A8" i="59"/>
  <c r="C8" i="59" s="1"/>
  <c r="A9" i="72"/>
  <c r="C9" i="72" s="1"/>
  <c r="AQ84" i="6"/>
  <c r="AQ89" i="6" s="1"/>
  <c r="AC32" i="1" s="1"/>
  <c r="L4" i="6"/>
  <c r="A4" i="6" s="1"/>
  <c r="B8" i="42"/>
  <c r="B9" i="73"/>
  <c r="B8" i="59"/>
  <c r="A8" i="42"/>
  <c r="C8" i="42" s="1"/>
  <c r="A7" i="19"/>
  <c r="A9" i="68"/>
  <c r="C9" i="68" s="1"/>
  <c r="A9" i="73"/>
  <c r="C9" i="73" s="1"/>
  <c r="A29" i="14"/>
  <c r="D7" i="59"/>
  <c r="D7" i="42"/>
  <c r="D7" i="68"/>
  <c r="D6" i="59"/>
  <c r="D6" i="42"/>
  <c r="A30" i="14"/>
  <c r="A10" i="73"/>
  <c r="C10" i="73" s="1"/>
  <c r="A10" i="68"/>
  <c r="C10" i="68" s="1"/>
  <c r="A9" i="42"/>
  <c r="C9" i="42" s="1"/>
  <c r="E5" i="6"/>
  <c r="A8" i="19"/>
  <c r="AK84" i="6"/>
  <c r="AK89" i="6" s="1"/>
  <c r="W32" i="1" s="1"/>
  <c r="D6" i="19"/>
  <c r="D8" i="72"/>
  <c r="D8" i="73"/>
  <c r="D8" i="68"/>
  <c r="D7" i="19"/>
  <c r="D9" i="72"/>
  <c r="D9" i="73"/>
  <c r="D9" i="68"/>
  <c r="D5" i="19"/>
  <c r="D7" i="72"/>
  <c r="D7" i="73"/>
  <c r="AW84" i="6"/>
  <c r="AW89" i="6" s="1"/>
  <c r="AN84" i="6"/>
  <c r="AN89" i="6" s="1"/>
  <c r="Z32" i="1" s="1"/>
  <c r="AV84" i="6"/>
  <c r="AV89" i="6" s="1"/>
  <c r="AH32" i="1" s="1"/>
  <c r="AL84" i="6"/>
  <c r="AL89" i="6" s="1"/>
  <c r="X32" i="1" s="1"/>
  <c r="AR84" i="6"/>
  <c r="AR89" i="6" s="1"/>
  <c r="AD32" i="1" s="1"/>
  <c r="AP84" i="6"/>
  <c r="AP89" i="6" s="1"/>
  <c r="AB32" i="1" s="1"/>
  <c r="O51" i="6"/>
  <c r="O58" i="6"/>
  <c r="AU84" i="6"/>
  <c r="AU89" i="6" s="1"/>
  <c r="AG32" i="1" s="1"/>
  <c r="AO84" i="6"/>
  <c r="AO89" i="6" s="1"/>
  <c r="AA32" i="1" s="1"/>
  <c r="AT84" i="6"/>
  <c r="AT89" i="6" s="1"/>
  <c r="AF32" i="1" s="1"/>
  <c r="A67" i="1"/>
  <c r="D8" i="59" l="1"/>
  <c r="A10" i="72"/>
  <c r="C10" i="72" s="1"/>
  <c r="A9" i="59"/>
  <c r="C9" i="59" s="1"/>
  <c r="C7" i="19"/>
  <c r="B7" i="19"/>
  <c r="A31" i="14"/>
  <c r="A10" i="59"/>
  <c r="C10" i="59" s="1"/>
  <c r="A11" i="73"/>
  <c r="C11" i="73" s="1"/>
  <c r="A11" i="72"/>
  <c r="C11" i="72" s="1"/>
  <c r="A11" i="68"/>
  <c r="C11" i="68" s="1"/>
  <c r="A10" i="42"/>
  <c r="C10" i="42" s="1"/>
  <c r="A9" i="19"/>
  <c r="E6" i="6"/>
  <c r="B9" i="59"/>
  <c r="B10" i="73"/>
  <c r="B9" i="42"/>
  <c r="L5" i="6"/>
  <c r="A5" i="6" s="1"/>
  <c r="CS5" i="6"/>
  <c r="B10" i="72"/>
  <c r="B10" i="68"/>
  <c r="B5" i="6"/>
  <c r="C5" i="6" s="1"/>
  <c r="B8" i="19"/>
  <c r="C8" i="19"/>
  <c r="J67" i="1"/>
  <c r="N67" i="1"/>
  <c r="P67" i="1"/>
  <c r="A32" i="14" l="1"/>
  <c r="A11" i="59"/>
  <c r="C11" i="59" s="1"/>
  <c r="A12" i="72"/>
  <c r="C12" i="72" s="1"/>
  <c r="A12" i="68"/>
  <c r="C12" i="68" s="1"/>
  <c r="E7" i="6"/>
  <c r="A12" i="73"/>
  <c r="C12" i="73" s="1"/>
  <c r="A11" i="42"/>
  <c r="C11" i="42" s="1"/>
  <c r="A10" i="19"/>
  <c r="B9" i="19"/>
  <c r="C9" i="19"/>
  <c r="D9" i="59"/>
  <c r="D9" i="42"/>
  <c r="D10" i="72"/>
  <c r="D10" i="68"/>
  <c r="D8" i="19"/>
  <c r="D10" i="73"/>
  <c r="B10" i="59"/>
  <c r="B11" i="73"/>
  <c r="B10" i="42"/>
  <c r="L6" i="6"/>
  <c r="A6" i="6" s="1"/>
  <c r="B6" i="6"/>
  <c r="C6" i="6" s="1"/>
  <c r="CS6" i="6"/>
  <c r="B11" i="72"/>
  <c r="B11" i="68"/>
  <c r="B10" i="19" l="1"/>
  <c r="C10" i="19"/>
  <c r="B12" i="73"/>
  <c r="B11" i="42"/>
  <c r="L7" i="6"/>
  <c r="A7" i="6" s="1"/>
  <c r="CS7" i="6"/>
  <c r="B12" i="72"/>
  <c r="B12" i="68"/>
  <c r="B7" i="6"/>
  <c r="C7" i="6" s="1"/>
  <c r="B11" i="59"/>
  <c r="D10" i="59"/>
  <c r="D10" i="42"/>
  <c r="D9" i="19"/>
  <c r="D11" i="72"/>
  <c r="D11" i="73"/>
  <c r="D11" i="68"/>
  <c r="A12" i="59"/>
  <c r="C12" i="59" s="1"/>
  <c r="A13" i="73"/>
  <c r="C13" i="73" s="1"/>
  <c r="A12" i="42"/>
  <c r="C12" i="42" s="1"/>
  <c r="E8" i="6"/>
  <c r="A33" i="14"/>
  <c r="A13" i="72"/>
  <c r="C13" i="72" s="1"/>
  <c r="A13" i="68"/>
  <c r="C13" i="68" s="1"/>
  <c r="A11" i="19"/>
  <c r="A13" i="59" l="1"/>
  <c r="C13" i="59" s="1"/>
  <c r="A12" i="19"/>
  <c r="A34" i="14"/>
  <c r="A14" i="72"/>
  <c r="C14" i="72" s="1"/>
  <c r="A14" i="68"/>
  <c r="C14" i="68" s="1"/>
  <c r="E9" i="6"/>
  <c r="A14" i="73"/>
  <c r="C14" i="73" s="1"/>
  <c r="A13" i="42"/>
  <c r="C13" i="42" s="1"/>
  <c r="L8" i="6"/>
  <c r="A8" i="6" s="1"/>
  <c r="B12" i="59"/>
  <c r="B13" i="73"/>
  <c r="B12" i="42"/>
  <c r="B8" i="6"/>
  <c r="C8" i="6" s="1"/>
  <c r="CS8" i="6"/>
  <c r="B13" i="72"/>
  <c r="B13" i="68"/>
  <c r="B11" i="19"/>
  <c r="C11" i="19"/>
  <c r="D11" i="59"/>
  <c r="D11" i="42"/>
  <c r="D10" i="19"/>
  <c r="D12" i="73"/>
  <c r="D12" i="72"/>
  <c r="D12" i="68"/>
  <c r="A14" i="59" l="1"/>
  <c r="C14" i="59" s="1"/>
  <c r="A15" i="72"/>
  <c r="C15" i="72" s="1"/>
  <c r="A14" i="42"/>
  <c r="C14" i="42" s="1"/>
  <c r="A13" i="19"/>
  <c r="A35" i="14"/>
  <c r="A15" i="73"/>
  <c r="C15" i="73" s="1"/>
  <c r="A15" i="68"/>
  <c r="C15" i="68" s="1"/>
  <c r="E10" i="6"/>
  <c r="B12" i="19"/>
  <c r="C12" i="19"/>
  <c r="D12" i="59"/>
  <c r="D12" i="42"/>
  <c r="D13" i="72"/>
  <c r="D13" i="68"/>
  <c r="D11" i="19"/>
  <c r="D13" i="73"/>
  <c r="B13" i="59"/>
  <c r="B14" i="73"/>
  <c r="B13" i="42"/>
  <c r="CS9" i="6"/>
  <c r="B14" i="68"/>
  <c r="B14" i="72"/>
  <c r="L9" i="6"/>
  <c r="A9" i="6" s="1"/>
  <c r="B9" i="6"/>
  <c r="C9" i="6" s="1"/>
  <c r="D13" i="59" l="1"/>
  <c r="D13" i="42"/>
  <c r="D14" i="72"/>
  <c r="D14" i="68"/>
  <c r="D12" i="19"/>
  <c r="D14" i="73"/>
  <c r="A36" i="14"/>
  <c r="A15" i="59"/>
  <c r="C15" i="59" s="1"/>
  <c r="A16" i="68"/>
  <c r="C16" i="68" s="1"/>
  <c r="A16" i="73"/>
  <c r="C16" i="73" s="1"/>
  <c r="A15" i="42"/>
  <c r="C15" i="42" s="1"/>
  <c r="E11" i="6"/>
  <c r="A16" i="72"/>
  <c r="C16" i="72" s="1"/>
  <c r="A14" i="19"/>
  <c r="B15" i="72"/>
  <c r="B15" i="68"/>
  <c r="B14" i="59"/>
  <c r="B15" i="73"/>
  <c r="B14" i="42"/>
  <c r="B10" i="6"/>
  <c r="C10" i="6" s="1"/>
  <c r="CS10" i="6"/>
  <c r="L10" i="6"/>
  <c r="A10" i="6" s="1"/>
  <c r="C13" i="19"/>
  <c r="B13" i="19"/>
  <c r="D14" i="59" l="1"/>
  <c r="D14" i="42"/>
  <c r="D15" i="68"/>
  <c r="D13" i="19"/>
  <c r="D15" i="72"/>
  <c r="D15" i="73"/>
  <c r="B14" i="19"/>
  <c r="C14" i="19"/>
  <c r="A16" i="59"/>
  <c r="C16" i="59" s="1"/>
  <c r="A17" i="73"/>
  <c r="C17" i="73" s="1"/>
  <c r="A16" i="42"/>
  <c r="C16" i="42" s="1"/>
  <c r="A37" i="14"/>
  <c r="A17" i="72"/>
  <c r="C17" i="72" s="1"/>
  <c r="A17" i="68"/>
  <c r="C17" i="68" s="1"/>
  <c r="A15" i="19"/>
  <c r="E12" i="6"/>
  <c r="B15" i="59"/>
  <c r="B16" i="73"/>
  <c r="B15" i="42"/>
  <c r="CS11" i="6"/>
  <c r="B16" i="72"/>
  <c r="B16" i="68"/>
  <c r="L11" i="6"/>
  <c r="A11" i="6" s="1"/>
  <c r="B11" i="6"/>
  <c r="C11" i="6" s="1"/>
  <c r="B16" i="59" l="1"/>
  <c r="B17" i="73"/>
  <c r="CS12" i="6"/>
  <c r="B17" i="72"/>
  <c r="B17" i="68"/>
  <c r="L12" i="6"/>
  <c r="A12" i="6" s="1"/>
  <c r="B12" i="6"/>
  <c r="C12" i="6" s="1"/>
  <c r="B16" i="42"/>
  <c r="A17" i="59"/>
  <c r="C17" i="59" s="1"/>
  <c r="A18" i="73"/>
  <c r="C18" i="73" s="1"/>
  <c r="A17" i="42"/>
  <c r="C17" i="42" s="1"/>
  <c r="A38" i="14"/>
  <c r="A18" i="72"/>
  <c r="C18" i="72" s="1"/>
  <c r="A18" i="68"/>
  <c r="C18" i="68" s="1"/>
  <c r="E13" i="6"/>
  <c r="A16" i="19"/>
  <c r="D15" i="59"/>
  <c r="D15" i="42"/>
  <c r="D16" i="68"/>
  <c r="D14" i="19"/>
  <c r="D16" i="73"/>
  <c r="D16" i="72"/>
  <c r="C15" i="19"/>
  <c r="B15" i="19"/>
  <c r="B18" i="68" l="1"/>
  <c r="B17" i="59"/>
  <c r="B18" i="73"/>
  <c r="B17" i="42"/>
  <c r="B13" i="6"/>
  <c r="C13" i="6" s="1"/>
  <c r="CS13" i="6"/>
  <c r="B18" i="72"/>
  <c r="L13" i="6"/>
  <c r="A13" i="6" s="1"/>
  <c r="C16" i="19"/>
  <c r="B16" i="19"/>
  <c r="A39" i="14"/>
  <c r="A18" i="59"/>
  <c r="C18" i="59" s="1"/>
  <c r="A19" i="68"/>
  <c r="C19" i="68" s="1"/>
  <c r="E14" i="6"/>
  <c r="A18" i="42"/>
  <c r="C18" i="42" s="1"/>
  <c r="A17" i="19"/>
  <c r="A19" i="72"/>
  <c r="C19" i="72" s="1"/>
  <c r="A19" i="73"/>
  <c r="C19" i="73" s="1"/>
  <c r="D16" i="59"/>
  <c r="D16" i="42"/>
  <c r="D17" i="72"/>
  <c r="D17" i="68"/>
  <c r="D15" i="19"/>
  <c r="D17" i="73"/>
  <c r="A19" i="59" l="1"/>
  <c r="C19" i="59" s="1"/>
  <c r="A20" i="73"/>
  <c r="C20" i="73" s="1"/>
  <c r="E15" i="6"/>
  <c r="A40" i="14"/>
  <c r="A20" i="72"/>
  <c r="C20" i="72" s="1"/>
  <c r="A20" i="68"/>
  <c r="C20" i="68" s="1"/>
  <c r="A18" i="19"/>
  <c r="A19" i="42"/>
  <c r="C19" i="42" s="1"/>
  <c r="B17" i="19"/>
  <c r="C17" i="19"/>
  <c r="B18" i="59"/>
  <c r="B19" i="73"/>
  <c r="CS14" i="6"/>
  <c r="B19" i="72"/>
  <c r="B19" i="68"/>
  <c r="L14" i="6"/>
  <c r="A14" i="6" s="1"/>
  <c r="B14" i="6"/>
  <c r="C14" i="6" s="1"/>
  <c r="B18" i="42"/>
  <c r="D17" i="59"/>
  <c r="D17" i="42"/>
  <c r="D16" i="19"/>
  <c r="D18" i="73"/>
  <c r="D18" i="72"/>
  <c r="D18" i="68"/>
  <c r="D18" i="59" l="1"/>
  <c r="D18" i="42"/>
  <c r="D17" i="19"/>
  <c r="D19" i="73"/>
  <c r="D19" i="68"/>
  <c r="D19" i="72"/>
  <c r="B18" i="19"/>
  <c r="C18" i="19"/>
  <c r="A21" i="68"/>
  <c r="C21" i="68" s="1"/>
  <c r="A21" i="72"/>
  <c r="C21" i="72" s="1"/>
  <c r="A20" i="42"/>
  <c r="C20" i="42" s="1"/>
  <c r="A19" i="19"/>
  <c r="A41" i="14"/>
  <c r="A20" i="59"/>
  <c r="C20" i="59" s="1"/>
  <c r="A21" i="73"/>
  <c r="C21" i="73" s="1"/>
  <c r="E16" i="6"/>
  <c r="B20" i="72"/>
  <c r="L15" i="6"/>
  <c r="A15" i="6" s="1"/>
  <c r="B19" i="59"/>
  <c r="B20" i="73"/>
  <c r="B19" i="42"/>
  <c r="B15" i="6"/>
  <c r="C15" i="6" s="1"/>
  <c r="CS15" i="6"/>
  <c r="B20" i="68"/>
  <c r="D19" i="59" l="1"/>
  <c r="D19" i="42"/>
  <c r="D20" i="68"/>
  <c r="D18" i="19"/>
  <c r="D20" i="73"/>
  <c r="D20" i="72"/>
  <c r="A21" i="59"/>
  <c r="C21" i="59" s="1"/>
  <c r="A22" i="73"/>
  <c r="C22" i="73" s="1"/>
  <c r="A42" i="14"/>
  <c r="A22" i="72"/>
  <c r="C22" i="72" s="1"/>
  <c r="A22" i="68"/>
  <c r="C22" i="68" s="1"/>
  <c r="E17" i="6"/>
  <c r="A21" i="42"/>
  <c r="C21" i="42" s="1"/>
  <c r="A20" i="19"/>
  <c r="B20" i="59"/>
  <c r="B21" i="73"/>
  <c r="B16" i="6"/>
  <c r="C16" i="6" s="1"/>
  <c r="CS16" i="6"/>
  <c r="B21" i="72"/>
  <c r="B21" i="68"/>
  <c r="L16" i="6"/>
  <c r="A16" i="6" s="1"/>
  <c r="B20" i="42"/>
  <c r="C19" i="19"/>
  <c r="B19" i="19"/>
  <c r="CS17" i="6" l="1"/>
  <c r="B22" i="72"/>
  <c r="B22" i="68"/>
  <c r="L17" i="6"/>
  <c r="A17" i="6" s="1"/>
  <c r="B17" i="6"/>
  <c r="C17" i="6" s="1"/>
  <c r="B21" i="59"/>
  <c r="B21" i="42"/>
  <c r="B22" i="73"/>
  <c r="D20" i="59"/>
  <c r="D20" i="42"/>
  <c r="D21" i="72"/>
  <c r="D21" i="68"/>
  <c r="D19" i="19"/>
  <c r="D21" i="73"/>
  <c r="B20" i="19"/>
  <c r="C20" i="19"/>
  <c r="A43" i="14"/>
  <c r="A23" i="72"/>
  <c r="C23" i="72" s="1"/>
  <c r="A23" i="68"/>
  <c r="C23" i="68" s="1"/>
  <c r="A22" i="59"/>
  <c r="C22" i="59" s="1"/>
  <c r="A23" i="73"/>
  <c r="C23" i="73" s="1"/>
  <c r="A22" i="42"/>
  <c r="C22" i="42" s="1"/>
  <c r="E18" i="6"/>
  <c r="A21" i="19"/>
  <c r="B21" i="19" l="1"/>
  <c r="C21" i="19"/>
  <c r="A24" i="68"/>
  <c r="C24" i="68" s="1"/>
  <c r="A23" i="59"/>
  <c r="C23" i="59" s="1"/>
  <c r="A24" i="73"/>
  <c r="C24" i="73" s="1"/>
  <c r="A23" i="42"/>
  <c r="C23" i="42" s="1"/>
  <c r="E19" i="6"/>
  <c r="A44" i="14"/>
  <c r="A24" i="72"/>
  <c r="C24" i="72" s="1"/>
  <c r="A22" i="19"/>
  <c r="D21" i="59"/>
  <c r="D21" i="42"/>
  <c r="D22" i="72"/>
  <c r="D20" i="19"/>
  <c r="D22" i="73"/>
  <c r="D22" i="68"/>
  <c r="L18" i="6"/>
  <c r="A18" i="6" s="1"/>
  <c r="B18" i="6"/>
  <c r="C18" i="6" s="1"/>
  <c r="B23" i="73"/>
  <c r="B23" i="68"/>
  <c r="CS18" i="6"/>
  <c r="B22" i="59"/>
  <c r="B23" i="72"/>
  <c r="B22" i="42"/>
  <c r="D22" i="59" l="1"/>
  <c r="D22" i="42"/>
  <c r="D23" i="72"/>
  <c r="D23" i="73"/>
  <c r="D23" i="68"/>
  <c r="D21" i="19"/>
  <c r="C22" i="19"/>
  <c r="B22" i="19"/>
  <c r="B23" i="59"/>
  <c r="B24" i="72"/>
  <c r="B24" i="73"/>
  <c r="B24" i="68"/>
  <c r="CS19" i="6"/>
  <c r="B19" i="6"/>
  <c r="C19" i="6" s="1"/>
  <c r="B23" i="42"/>
  <c r="L19" i="6"/>
  <c r="A19" i="6" s="1"/>
  <c r="A25" i="73"/>
  <c r="C25" i="73" s="1"/>
  <c r="A24" i="42"/>
  <c r="C24" i="42" s="1"/>
  <c r="A45" i="14"/>
  <c r="A25" i="72"/>
  <c r="C25" i="72" s="1"/>
  <c r="A25" i="68"/>
  <c r="C25" i="68" s="1"/>
  <c r="A23" i="19"/>
  <c r="A24" i="59"/>
  <c r="C24" i="59" s="1"/>
  <c r="E20" i="6"/>
  <c r="CS20" i="6" l="1"/>
  <c r="B24" i="59"/>
  <c r="B25" i="72"/>
  <c r="L20" i="6"/>
  <c r="A20" i="6" s="1"/>
  <c r="B20" i="6"/>
  <c r="C20" i="6" s="1"/>
  <c r="B25" i="73"/>
  <c r="B25" i="68"/>
  <c r="B24" i="42"/>
  <c r="A46" i="14"/>
  <c r="A26" i="68"/>
  <c r="C26" i="68" s="1"/>
  <c r="E21" i="6"/>
  <c r="A25" i="59"/>
  <c r="C25" i="59" s="1"/>
  <c r="A26" i="73"/>
  <c r="C26" i="73" s="1"/>
  <c r="A25" i="42"/>
  <c r="C25" i="42" s="1"/>
  <c r="A24" i="19"/>
  <c r="A26" i="72"/>
  <c r="C26" i="72" s="1"/>
  <c r="B23" i="19"/>
  <c r="C23" i="19"/>
  <c r="D23" i="59"/>
  <c r="D23" i="42"/>
  <c r="D24" i="72"/>
  <c r="D24" i="68"/>
  <c r="D22" i="19"/>
  <c r="D24" i="73"/>
  <c r="E22" i="6" l="1"/>
  <c r="CS22" i="6" s="1"/>
  <c r="A25" i="19"/>
  <c r="A27" i="68"/>
  <c r="C27" i="68" s="1"/>
  <c r="A47" i="14"/>
  <c r="A26" i="59"/>
  <c r="C26" i="59" s="1"/>
  <c r="A27" i="73"/>
  <c r="C27" i="73" s="1"/>
  <c r="A26" i="42"/>
  <c r="C26" i="42" s="1"/>
  <c r="A27" i="72"/>
  <c r="C27" i="72" s="1"/>
  <c r="B24" i="19"/>
  <c r="C24" i="19"/>
  <c r="B25" i="59"/>
  <c r="B26" i="73"/>
  <c r="B25" i="42"/>
  <c r="B21" i="6"/>
  <c r="C21" i="6" s="1"/>
  <c r="B26" i="72"/>
  <c r="B26" i="68"/>
  <c r="L21" i="6"/>
  <c r="A21" i="6" s="1"/>
  <c r="CS21" i="6"/>
  <c r="D24" i="59"/>
  <c r="D24" i="42"/>
  <c r="D25" i="73"/>
  <c r="D25" i="72"/>
  <c r="D25" i="68"/>
  <c r="D23" i="19"/>
  <c r="D25" i="59" l="1"/>
  <c r="D25" i="42"/>
  <c r="D26" i="68"/>
  <c r="D24" i="19"/>
  <c r="D26" i="73"/>
  <c r="D26" i="72"/>
  <c r="A27" i="59"/>
  <c r="C27" i="59" s="1"/>
  <c r="A28" i="73"/>
  <c r="C28" i="73" s="1"/>
  <c r="A27" i="42"/>
  <c r="C27" i="42" s="1"/>
  <c r="A26" i="19"/>
  <c r="A48" i="14"/>
  <c r="A28" i="72"/>
  <c r="C28" i="72" s="1"/>
  <c r="A28" i="68"/>
  <c r="C28" i="68" s="1"/>
  <c r="E23" i="6"/>
  <c r="CS23" i="6" s="1"/>
  <c r="B27" i="68"/>
  <c r="B26" i="59"/>
  <c r="B27" i="73"/>
  <c r="B26" i="42"/>
  <c r="B22" i="6"/>
  <c r="C22" i="6" s="1"/>
  <c r="B27" i="72"/>
  <c r="L22" i="6"/>
  <c r="A22" i="6" s="1"/>
  <c r="D26" i="59"/>
  <c r="D26" i="42"/>
  <c r="D27" i="73"/>
  <c r="D25" i="19"/>
  <c r="D27" i="72"/>
  <c r="D27" i="68"/>
  <c r="C25" i="19"/>
  <c r="B25" i="19"/>
  <c r="D27" i="59" l="1"/>
  <c r="D27" i="42"/>
  <c r="D28" i="72"/>
  <c r="D26" i="19"/>
  <c r="D28" i="73"/>
  <c r="D28" i="68"/>
  <c r="B26" i="19"/>
  <c r="C26" i="19"/>
  <c r="A29" i="73"/>
  <c r="C29" i="73" s="1"/>
  <c r="A28" i="42"/>
  <c r="C28" i="42" s="1"/>
  <c r="E24" i="6"/>
  <c r="A49" i="14"/>
  <c r="A29" i="72"/>
  <c r="C29" i="72" s="1"/>
  <c r="A29" i="68"/>
  <c r="C29" i="68" s="1"/>
  <c r="A28" i="59"/>
  <c r="C28" i="59" s="1"/>
  <c r="A27" i="19"/>
  <c r="CS24" i="6"/>
  <c r="B27" i="42"/>
  <c r="B28" i="72"/>
  <c r="B28" i="68"/>
  <c r="B23" i="6"/>
  <c r="C23" i="6" s="1"/>
  <c r="B27" i="59"/>
  <c r="B28" i="73"/>
  <c r="L23" i="6"/>
  <c r="A23" i="6" s="1"/>
  <c r="D28" i="59" l="1"/>
  <c r="D28" i="42"/>
  <c r="D29" i="72"/>
  <c r="D27" i="19"/>
  <c r="D29" i="73"/>
  <c r="D29" i="68"/>
  <c r="B29" i="72"/>
  <c r="B28" i="59"/>
  <c r="B29" i="73"/>
  <c r="B28" i="42"/>
  <c r="L24" i="6"/>
  <c r="A24" i="6" s="1"/>
  <c r="B29" i="68"/>
  <c r="B24" i="6"/>
  <c r="C24" i="6" s="1"/>
  <c r="B27" i="19"/>
  <c r="C27" i="19"/>
  <c r="A30" i="73"/>
  <c r="C30" i="73" s="1"/>
  <c r="A29" i="42"/>
  <c r="C29" i="42" s="1"/>
  <c r="E25" i="6"/>
  <c r="A50" i="14"/>
  <c r="A30" i="72"/>
  <c r="C30" i="72" s="1"/>
  <c r="A30" i="68"/>
  <c r="C30" i="68" s="1"/>
  <c r="A28" i="19"/>
  <c r="A29" i="59"/>
  <c r="C29" i="59" s="1"/>
  <c r="CS25" i="6"/>
  <c r="D29" i="59" l="1"/>
  <c r="D29" i="42"/>
  <c r="D30" i="72"/>
  <c r="D28" i="19"/>
  <c r="D30" i="73"/>
  <c r="D30" i="68"/>
  <c r="B28" i="19"/>
  <c r="C28" i="19"/>
  <c r="B29" i="59"/>
  <c r="B30" i="73"/>
  <c r="B29" i="42"/>
  <c r="L25" i="6"/>
  <c r="A25" i="6" s="1"/>
  <c r="B30" i="72"/>
  <c r="B30" i="68"/>
  <c r="B25" i="6"/>
  <c r="C25" i="6" s="1"/>
  <c r="A31" i="73"/>
  <c r="C31" i="73" s="1"/>
  <c r="A51" i="14"/>
  <c r="A31" i="72"/>
  <c r="C31" i="72" s="1"/>
  <c r="A31" i="68"/>
  <c r="C31" i="68" s="1"/>
  <c r="E26" i="6"/>
  <c r="A29" i="19"/>
  <c r="A30" i="59"/>
  <c r="C30" i="59" s="1"/>
  <c r="A30" i="42"/>
  <c r="C30" i="42" s="1"/>
  <c r="CS26" i="6"/>
  <c r="D30" i="59" l="1"/>
  <c r="D30" i="42"/>
  <c r="D31" i="72"/>
  <c r="D31" i="73"/>
  <c r="D31" i="68"/>
  <c r="D29" i="19"/>
  <c r="B30" i="59"/>
  <c r="B26" i="6"/>
  <c r="C26" i="6" s="1"/>
  <c r="B31" i="72"/>
  <c r="B31" i="73"/>
  <c r="B31" i="68"/>
  <c r="B30" i="42"/>
  <c r="L26" i="6"/>
  <c r="A26" i="6" s="1"/>
  <c r="A32" i="73"/>
  <c r="C32" i="73" s="1"/>
  <c r="A31" i="42"/>
  <c r="C31" i="42" s="1"/>
  <c r="A52" i="14"/>
  <c r="A32" i="72"/>
  <c r="C32" i="72" s="1"/>
  <c r="A32" i="68"/>
  <c r="C32" i="68" s="1"/>
  <c r="A30" i="19"/>
  <c r="A31" i="59"/>
  <c r="C31" i="59" s="1"/>
  <c r="E27" i="6"/>
  <c r="C29" i="19"/>
  <c r="B29" i="19"/>
  <c r="CS27" i="6" l="1"/>
  <c r="B31" i="59"/>
  <c r="B31" i="42"/>
  <c r="B32" i="73"/>
  <c r="B32" i="68"/>
  <c r="L27" i="6"/>
  <c r="A27" i="6" s="1"/>
  <c r="B27" i="6"/>
  <c r="C27" i="6" s="1"/>
  <c r="B32" i="72"/>
  <c r="A53" i="14"/>
  <c r="A33" i="68"/>
  <c r="C33" i="68" s="1"/>
  <c r="E28" i="6"/>
  <c r="A32" i="59"/>
  <c r="C32" i="59" s="1"/>
  <c r="A33" i="73"/>
  <c r="C33" i="73" s="1"/>
  <c r="A32" i="42"/>
  <c r="C32" i="42" s="1"/>
  <c r="A33" i="72"/>
  <c r="C33" i="72" s="1"/>
  <c r="A31" i="19"/>
  <c r="C30" i="19"/>
  <c r="B30" i="19"/>
  <c r="C31" i="19" l="1"/>
  <c r="B31" i="19"/>
  <c r="CS28" i="6"/>
  <c r="B32" i="42"/>
  <c r="B33" i="72"/>
  <c r="B33" i="73"/>
  <c r="B33" i="68"/>
  <c r="L28" i="6"/>
  <c r="A28" i="6" s="1"/>
  <c r="B28" i="6"/>
  <c r="C28" i="6" s="1"/>
  <c r="B32" i="59"/>
  <c r="A34" i="68"/>
  <c r="C34" i="68" s="1"/>
  <c r="A33" i="59"/>
  <c r="C33" i="59" s="1"/>
  <c r="A34" i="73"/>
  <c r="C34" i="73" s="1"/>
  <c r="A33" i="42"/>
  <c r="C33" i="42" s="1"/>
  <c r="E29" i="6"/>
  <c r="A54" i="14"/>
  <c r="A34" i="72"/>
  <c r="C34" i="72" s="1"/>
  <c r="A32" i="19"/>
  <c r="D31" i="59"/>
  <c r="D31" i="42"/>
  <c r="D30" i="19"/>
  <c r="D32" i="73"/>
  <c r="D32" i="72"/>
  <c r="D32" i="68"/>
  <c r="B32" i="19" l="1"/>
  <c r="C32" i="19"/>
  <c r="CS29" i="6"/>
  <c r="B34" i="68"/>
  <c r="L29" i="6"/>
  <c r="A29" i="6" s="1"/>
  <c r="B29" i="6"/>
  <c r="C29" i="6" s="1"/>
  <c r="B33" i="59"/>
  <c r="B34" i="72"/>
  <c r="B33" i="42"/>
  <c r="B34" i="73"/>
  <c r="A35" i="73"/>
  <c r="C35" i="73" s="1"/>
  <c r="A34" i="42"/>
  <c r="C34" i="42" s="1"/>
  <c r="A55" i="14"/>
  <c r="A35" i="72"/>
  <c r="C35" i="72" s="1"/>
  <c r="A35" i="68"/>
  <c r="C35" i="68" s="1"/>
  <c r="E30" i="6"/>
  <c r="A33" i="19"/>
  <c r="A34" i="59"/>
  <c r="C34" i="59" s="1"/>
  <c r="D32" i="59"/>
  <c r="D32" i="42"/>
  <c r="D31" i="19"/>
  <c r="D33" i="73"/>
  <c r="D33" i="72"/>
  <c r="D33" i="68"/>
  <c r="CS30" i="6" l="1"/>
  <c r="B35" i="73"/>
  <c r="B30" i="6"/>
  <c r="C30" i="6" s="1"/>
  <c r="B34" i="59"/>
  <c r="B34" i="42"/>
  <c r="B35" i="72"/>
  <c r="B35" i="68"/>
  <c r="L30" i="6"/>
  <c r="A30" i="6" s="1"/>
  <c r="A36" i="73"/>
  <c r="C36" i="73" s="1"/>
  <c r="A35" i="42"/>
  <c r="C35" i="42" s="1"/>
  <c r="A56" i="14"/>
  <c r="A36" i="72"/>
  <c r="C36" i="72" s="1"/>
  <c r="A36" i="68"/>
  <c r="C36" i="68" s="1"/>
  <c r="E31" i="6"/>
  <c r="A34" i="19"/>
  <c r="A35" i="59"/>
  <c r="C35" i="59" s="1"/>
  <c r="CS31" i="6"/>
  <c r="C33" i="19"/>
  <c r="B33" i="19"/>
  <c r="D33" i="59"/>
  <c r="D33" i="42"/>
  <c r="D34" i="72"/>
  <c r="D32" i="19"/>
  <c r="D34" i="73"/>
  <c r="D34" i="68"/>
  <c r="D35" i="59" l="1"/>
  <c r="D35" i="42"/>
  <c r="D34" i="19"/>
  <c r="D36" i="72"/>
  <c r="D36" i="68"/>
  <c r="D36" i="73"/>
  <c r="B35" i="42"/>
  <c r="B36" i="73"/>
  <c r="B36" i="68"/>
  <c r="B35" i="59"/>
  <c r="B36" i="72"/>
  <c r="L31" i="6"/>
  <c r="A31" i="6" s="1"/>
  <c r="B31" i="6"/>
  <c r="C31" i="6" s="1"/>
  <c r="A37" i="73"/>
  <c r="C37" i="73" s="1"/>
  <c r="A35" i="19"/>
  <c r="A57" i="14"/>
  <c r="A37" i="72"/>
  <c r="C37" i="72" s="1"/>
  <c r="A37" i="68"/>
  <c r="C37" i="68" s="1"/>
  <c r="E32" i="6"/>
  <c r="CS32" i="6" s="1"/>
  <c r="A36" i="59"/>
  <c r="C36" i="59" s="1"/>
  <c r="A36" i="42"/>
  <c r="C36" i="42" s="1"/>
  <c r="C34" i="19"/>
  <c r="B34" i="19"/>
  <c r="D34" i="59"/>
  <c r="D34" i="42"/>
  <c r="D35" i="68"/>
  <c r="D33" i="19"/>
  <c r="D35" i="72"/>
  <c r="D35" i="73"/>
  <c r="D36" i="59" l="1"/>
  <c r="D36" i="42"/>
  <c r="D37" i="72"/>
  <c r="D37" i="68"/>
  <c r="D35" i="19"/>
  <c r="D37" i="73"/>
  <c r="A37" i="59"/>
  <c r="C37" i="59" s="1"/>
  <c r="A58" i="14"/>
  <c r="A38" i="72"/>
  <c r="C38" i="72" s="1"/>
  <c r="A38" i="68"/>
  <c r="C38" i="68" s="1"/>
  <c r="E33" i="6"/>
  <c r="A38" i="73"/>
  <c r="C38" i="73" s="1"/>
  <c r="A37" i="42"/>
  <c r="C37" i="42" s="1"/>
  <c r="A36" i="19"/>
  <c r="B37" i="73"/>
  <c r="B37" i="72"/>
  <c r="B37" i="68"/>
  <c r="B32" i="6"/>
  <c r="C32" i="6" s="1"/>
  <c r="B36" i="59"/>
  <c r="B36" i="42"/>
  <c r="L32" i="6"/>
  <c r="A32" i="6" s="1"/>
  <c r="C35" i="19"/>
  <c r="B35" i="19"/>
  <c r="A39" i="73" l="1"/>
  <c r="C39" i="73" s="1"/>
  <c r="A38" i="42"/>
  <c r="C38" i="42" s="1"/>
  <c r="A59" i="14"/>
  <c r="A39" i="72"/>
  <c r="C39" i="72" s="1"/>
  <c r="A39" i="68"/>
  <c r="C39" i="68" s="1"/>
  <c r="E34" i="6"/>
  <c r="CS34" i="6" s="1"/>
  <c r="A37" i="19"/>
  <c r="A38" i="59"/>
  <c r="C38" i="59" s="1"/>
  <c r="B36" i="19"/>
  <c r="C36" i="19"/>
  <c r="CS33" i="6"/>
  <c r="B38" i="68"/>
  <c r="L33" i="6"/>
  <c r="A33" i="6" s="1"/>
  <c r="B33" i="6"/>
  <c r="C33" i="6" s="1"/>
  <c r="B37" i="59"/>
  <c r="B38" i="73"/>
  <c r="B37" i="42"/>
  <c r="B38" i="72"/>
  <c r="D37" i="59" l="1"/>
  <c r="D37" i="42"/>
  <c r="D38" i="72"/>
  <c r="D36" i="19"/>
  <c r="D38" i="73"/>
  <c r="D38" i="68"/>
  <c r="A39" i="59"/>
  <c r="C39" i="59" s="1"/>
  <c r="A40" i="73"/>
  <c r="C40" i="73" s="1"/>
  <c r="A39" i="42"/>
  <c r="C39" i="42" s="1"/>
  <c r="A60" i="14"/>
  <c r="A40" i="72"/>
  <c r="C40" i="72" s="1"/>
  <c r="A40" i="68"/>
  <c r="C40" i="68" s="1"/>
  <c r="A38" i="19"/>
  <c r="E35" i="6"/>
  <c r="CS35" i="6" s="1"/>
  <c r="B37" i="19"/>
  <c r="C37" i="19"/>
  <c r="D38" i="59"/>
  <c r="D38" i="42"/>
  <c r="D39" i="72"/>
  <c r="D39" i="73"/>
  <c r="D39" i="68"/>
  <c r="D37" i="19"/>
  <c r="B39" i="68"/>
  <c r="L34" i="6"/>
  <c r="A34" i="6" s="1"/>
  <c r="B34" i="6"/>
  <c r="C34" i="6" s="1"/>
  <c r="B38" i="59"/>
  <c r="B39" i="73"/>
  <c r="B38" i="42"/>
  <c r="B39" i="72"/>
  <c r="D39" i="59" l="1"/>
  <c r="D39" i="42"/>
  <c r="D40" i="68"/>
  <c r="D38" i="19"/>
  <c r="D40" i="73"/>
  <c r="D40" i="72"/>
  <c r="E36" i="6"/>
  <c r="CS36" i="6" s="1"/>
  <c r="A41" i="72"/>
  <c r="C41" i="72" s="1"/>
  <c r="A39" i="19"/>
  <c r="A61" i="14"/>
  <c r="A40" i="59"/>
  <c r="C40" i="59" s="1"/>
  <c r="A41" i="73"/>
  <c r="C41" i="73" s="1"/>
  <c r="A40" i="42"/>
  <c r="C40" i="42" s="1"/>
  <c r="A41" i="68"/>
  <c r="C41" i="68" s="1"/>
  <c r="B35" i="6"/>
  <c r="C35" i="6" s="1"/>
  <c r="B39" i="59"/>
  <c r="B40" i="73"/>
  <c r="B39" i="42"/>
  <c r="L35" i="6"/>
  <c r="A35" i="6" s="1"/>
  <c r="B40" i="72"/>
  <c r="B40" i="68"/>
  <c r="B38" i="19"/>
  <c r="C38" i="19"/>
  <c r="C39" i="19" l="1"/>
  <c r="B39" i="19"/>
  <c r="B41" i="73"/>
  <c r="B41" i="68"/>
  <c r="B36" i="6"/>
  <c r="C36" i="6" s="1"/>
  <c r="B40" i="59"/>
  <c r="B41" i="72"/>
  <c r="B40" i="42"/>
  <c r="L36" i="6"/>
  <c r="A36" i="6" s="1"/>
  <c r="E37" i="6"/>
  <c r="A41" i="59"/>
  <c r="C41" i="59" s="1"/>
  <c r="A42" i="73"/>
  <c r="C42" i="73" s="1"/>
  <c r="A41" i="42"/>
  <c r="C41" i="42" s="1"/>
  <c r="A62" i="14"/>
  <c r="A42" i="72"/>
  <c r="C42" i="72" s="1"/>
  <c r="A42" i="68"/>
  <c r="C42" i="68" s="1"/>
  <c r="A40" i="19"/>
  <c r="CS37" i="6"/>
  <c r="D40" i="59"/>
  <c r="D40" i="42"/>
  <c r="D41" i="72"/>
  <c r="D39" i="19"/>
  <c r="D41" i="73"/>
  <c r="D41" i="68"/>
  <c r="B40" i="19" l="1"/>
  <c r="C40" i="19"/>
  <c r="A43" i="73"/>
  <c r="C43" i="73" s="1"/>
  <c r="A42" i="42"/>
  <c r="C42" i="42" s="1"/>
  <c r="A63" i="14"/>
  <c r="A43" i="72"/>
  <c r="C43" i="72" s="1"/>
  <c r="A43" i="68"/>
  <c r="C43" i="68" s="1"/>
  <c r="E38" i="6"/>
  <c r="A42" i="59"/>
  <c r="C42" i="59" s="1"/>
  <c r="A41" i="19"/>
  <c r="CS38" i="6"/>
  <c r="D41" i="59"/>
  <c r="D41" i="42"/>
  <c r="D42" i="72"/>
  <c r="D40" i="19"/>
  <c r="D42" i="73"/>
  <c r="D42" i="68"/>
  <c r="B41" i="59"/>
  <c r="L37" i="6"/>
  <c r="A37" i="6" s="1"/>
  <c r="B37" i="6"/>
  <c r="C37" i="6" s="1"/>
  <c r="B42" i="72"/>
  <c r="B42" i="68"/>
  <c r="B42" i="73"/>
  <c r="B41" i="42"/>
  <c r="D42" i="59" l="1"/>
  <c r="D42" i="42"/>
  <c r="D41" i="19"/>
  <c r="D43" i="72"/>
  <c r="D43" i="73"/>
  <c r="D43" i="68"/>
  <c r="B41" i="19"/>
  <c r="C41" i="19"/>
  <c r="A43" i="59"/>
  <c r="C43" i="59" s="1"/>
  <c r="A44" i="73"/>
  <c r="C44" i="73" s="1"/>
  <c r="A43" i="42"/>
  <c r="C43" i="42" s="1"/>
  <c r="A64" i="14"/>
  <c r="A44" i="72"/>
  <c r="C44" i="72" s="1"/>
  <c r="A44" i="68"/>
  <c r="C44" i="68" s="1"/>
  <c r="E39" i="6"/>
  <c r="CS39" i="6" s="1"/>
  <c r="A42" i="19"/>
  <c r="B43" i="73"/>
  <c r="B43" i="68"/>
  <c r="B42" i="59"/>
  <c r="B43" i="72"/>
  <c r="B42" i="42"/>
  <c r="L38" i="6"/>
  <c r="A38" i="6" s="1"/>
  <c r="B38" i="6"/>
  <c r="C38" i="6" s="1"/>
  <c r="D43" i="59" l="1"/>
  <c r="D43" i="42"/>
  <c r="D42" i="19"/>
  <c r="D44" i="72"/>
  <c r="D44" i="68"/>
  <c r="D44" i="73"/>
  <c r="B44" i="72"/>
  <c r="B44" i="73"/>
  <c r="B44" i="68"/>
  <c r="B43" i="59"/>
  <c r="B43" i="42"/>
  <c r="L39" i="6"/>
  <c r="A39" i="6" s="1"/>
  <c r="B39" i="6"/>
  <c r="C39" i="6" s="1"/>
  <c r="C42" i="19"/>
  <c r="B42" i="19"/>
  <c r="A65" i="14"/>
  <c r="A45" i="72"/>
  <c r="C45" i="72" s="1"/>
  <c r="A45" i="68"/>
  <c r="C45" i="68" s="1"/>
  <c r="E40" i="6"/>
  <c r="CS40" i="6" s="1"/>
  <c r="A44" i="59"/>
  <c r="C44" i="59" s="1"/>
  <c r="A45" i="73"/>
  <c r="C45" i="73" s="1"/>
  <c r="A44" i="42"/>
  <c r="C44" i="42" s="1"/>
  <c r="A43" i="19"/>
  <c r="D44" i="59" l="1"/>
  <c r="D44" i="42"/>
  <c r="D45" i="68"/>
  <c r="D43" i="19"/>
  <c r="D45" i="73"/>
  <c r="D45" i="72"/>
  <c r="A66" i="14"/>
  <c r="A46" i="68"/>
  <c r="C46" i="68" s="1"/>
  <c r="A44" i="19"/>
  <c r="A45" i="59"/>
  <c r="C45" i="59" s="1"/>
  <c r="A46" i="73"/>
  <c r="C46" i="73" s="1"/>
  <c r="A45" i="42"/>
  <c r="C45" i="42" s="1"/>
  <c r="E41" i="6"/>
  <c r="CS41" i="6" s="1"/>
  <c r="A46" i="72"/>
  <c r="C46" i="72" s="1"/>
  <c r="C43" i="19"/>
  <c r="B43" i="19"/>
  <c r="B44" i="59"/>
  <c r="B45" i="72"/>
  <c r="B45" i="73"/>
  <c r="B45" i="68"/>
  <c r="B44" i="42"/>
  <c r="L40" i="6"/>
  <c r="A40" i="6" s="1"/>
  <c r="B40" i="6"/>
  <c r="C40" i="6" s="1"/>
  <c r="D45" i="59" l="1"/>
  <c r="D45" i="42"/>
  <c r="D46" i="72"/>
  <c r="D44" i="19"/>
  <c r="D46" i="73"/>
  <c r="D46" i="68"/>
  <c r="A46" i="59"/>
  <c r="C46" i="59" s="1"/>
  <c r="A47" i="73"/>
  <c r="C47" i="73" s="1"/>
  <c r="A46" i="42"/>
  <c r="C46" i="42" s="1"/>
  <c r="E42" i="6"/>
  <c r="A67" i="14"/>
  <c r="A47" i="72"/>
  <c r="C47" i="72" s="1"/>
  <c r="A47" i="68"/>
  <c r="C47" i="68" s="1"/>
  <c r="A45" i="19"/>
  <c r="CS42" i="6"/>
  <c r="B45" i="59"/>
  <c r="B46" i="73"/>
  <c r="B45" i="42"/>
  <c r="L41" i="6"/>
  <c r="A41" i="6" s="1"/>
  <c r="B46" i="72"/>
  <c r="B46" i="68"/>
  <c r="B41" i="6"/>
  <c r="C41" i="6" s="1"/>
  <c r="B44" i="19"/>
  <c r="C44" i="19"/>
  <c r="D46" i="59" l="1"/>
  <c r="D46" i="42"/>
  <c r="D47" i="73"/>
  <c r="D47" i="68"/>
  <c r="D45" i="19"/>
  <c r="D47" i="72"/>
  <c r="L42" i="6"/>
  <c r="A42" i="6" s="1"/>
  <c r="B47" i="73"/>
  <c r="B47" i="68"/>
  <c r="B42" i="6"/>
  <c r="C42" i="6" s="1"/>
  <c r="B46" i="59"/>
  <c r="B47" i="72"/>
  <c r="B46" i="42"/>
  <c r="A48" i="73"/>
  <c r="C48" i="73" s="1"/>
  <c r="A68" i="14"/>
  <c r="A48" i="72"/>
  <c r="C48" i="72" s="1"/>
  <c r="A48" i="68"/>
  <c r="C48" i="68" s="1"/>
  <c r="A46" i="19"/>
  <c r="A47" i="59"/>
  <c r="C47" i="59" s="1"/>
  <c r="A47" i="42"/>
  <c r="C47" i="42" s="1"/>
  <c r="E43" i="6"/>
  <c r="B45" i="19"/>
  <c r="C45" i="19"/>
  <c r="A49" i="68" l="1"/>
  <c r="C49" i="68" s="1"/>
  <c r="A48" i="59"/>
  <c r="C48" i="59" s="1"/>
  <c r="A49" i="73"/>
  <c r="C49" i="73" s="1"/>
  <c r="A48" i="42"/>
  <c r="C48" i="42" s="1"/>
  <c r="A47" i="19"/>
  <c r="A69" i="14"/>
  <c r="A49" i="72"/>
  <c r="C49" i="72" s="1"/>
  <c r="E44" i="6"/>
  <c r="CS44" i="6" s="1"/>
  <c r="CS43" i="6"/>
  <c r="B48" i="73"/>
  <c r="B47" i="42"/>
  <c r="B48" i="72"/>
  <c r="B48" i="68"/>
  <c r="L43" i="6"/>
  <c r="A43" i="6" s="1"/>
  <c r="B43" i="6"/>
  <c r="C43" i="6" s="1"/>
  <c r="B47" i="59"/>
  <c r="C46" i="19"/>
  <c r="B46" i="19"/>
  <c r="D47" i="59" l="1"/>
  <c r="D47" i="42"/>
  <c r="D48" i="73"/>
  <c r="D48" i="72"/>
  <c r="D48" i="68"/>
  <c r="D46" i="19"/>
  <c r="B48" i="59"/>
  <c r="B49" i="72"/>
  <c r="B48" i="42"/>
  <c r="B44" i="6"/>
  <c r="C44" i="6" s="1"/>
  <c r="B49" i="73"/>
  <c r="B49" i="68"/>
  <c r="L44" i="6"/>
  <c r="A44" i="6" s="1"/>
  <c r="A70" i="14"/>
  <c r="A50" i="72"/>
  <c r="C50" i="72" s="1"/>
  <c r="A50" i="68"/>
  <c r="C50" i="68" s="1"/>
  <c r="E45" i="6"/>
  <c r="A48" i="19"/>
  <c r="A49" i="59"/>
  <c r="C49" i="59" s="1"/>
  <c r="A50" i="73"/>
  <c r="C50" i="73" s="1"/>
  <c r="A49" i="42"/>
  <c r="C49" i="42" s="1"/>
  <c r="D48" i="59"/>
  <c r="D48" i="42"/>
  <c r="D49" i="72"/>
  <c r="D49" i="68"/>
  <c r="D47" i="19"/>
  <c r="D49" i="73"/>
  <c r="C47" i="19"/>
  <c r="B47" i="19"/>
  <c r="B49" i="59" l="1"/>
  <c r="B50" i="73"/>
  <c r="B49" i="42"/>
  <c r="B50" i="72"/>
  <c r="B50" i="68"/>
  <c r="L45" i="6"/>
  <c r="A45" i="6" s="1"/>
  <c r="B45" i="6"/>
  <c r="C45" i="6" s="1"/>
  <c r="CS45" i="6"/>
  <c r="C48" i="19"/>
  <c r="B48" i="19"/>
  <c r="A50" i="59"/>
  <c r="C50" i="59" s="1"/>
  <c r="A51" i="73"/>
  <c r="C51" i="73" s="1"/>
  <c r="A50" i="42"/>
  <c r="C50" i="42" s="1"/>
  <c r="A71" i="14"/>
  <c r="A51" i="72"/>
  <c r="C51" i="72" s="1"/>
  <c r="A51" i="68"/>
  <c r="C51" i="68" s="1"/>
  <c r="E46" i="6"/>
  <c r="A49" i="19"/>
  <c r="B49" i="19" l="1"/>
  <c r="C49" i="19"/>
  <c r="A72" i="14"/>
  <c r="A52" i="72"/>
  <c r="C52" i="72" s="1"/>
  <c r="A52" i="68"/>
  <c r="C52" i="68" s="1"/>
  <c r="A51" i="59"/>
  <c r="C51" i="59" s="1"/>
  <c r="A52" i="73"/>
  <c r="C52" i="73" s="1"/>
  <c r="A51" i="42"/>
  <c r="C51" i="42" s="1"/>
  <c r="E47" i="6"/>
  <c r="A50" i="19"/>
  <c r="CS46" i="6"/>
  <c r="B50" i="42"/>
  <c r="B46" i="6"/>
  <c r="C46" i="6" s="1"/>
  <c r="B51" i="73"/>
  <c r="B51" i="68"/>
  <c r="L46" i="6"/>
  <c r="A46" i="6" s="1"/>
  <c r="B50" i="59"/>
  <c r="B51" i="72"/>
  <c r="D49" i="59"/>
  <c r="D49" i="42"/>
  <c r="D50" i="72"/>
  <c r="D48" i="19"/>
  <c r="D50" i="73"/>
  <c r="D50" i="68"/>
  <c r="C50" i="19" l="1"/>
  <c r="B50" i="19"/>
  <c r="A53" i="68"/>
  <c r="C53" i="68" s="1"/>
  <c r="E48" i="6"/>
  <c r="A52" i="59"/>
  <c r="C52" i="59" s="1"/>
  <c r="A53" i="73"/>
  <c r="C53" i="73" s="1"/>
  <c r="A52" i="42"/>
  <c r="C52" i="42" s="1"/>
  <c r="A73" i="14"/>
  <c r="A53" i="72"/>
  <c r="C53" i="72" s="1"/>
  <c r="A51" i="19"/>
  <c r="CS48" i="6"/>
  <c r="D50" i="59"/>
  <c r="D50" i="42"/>
  <c r="D49" i="19"/>
  <c r="D51" i="72"/>
  <c r="D51" i="73"/>
  <c r="D51" i="68"/>
  <c r="CS47" i="6"/>
  <c r="B52" i="73"/>
  <c r="B51" i="42"/>
  <c r="B52" i="72"/>
  <c r="B52" i="68"/>
  <c r="L47" i="6"/>
  <c r="A47" i="6" s="1"/>
  <c r="B47" i="6"/>
  <c r="C47" i="6" s="1"/>
  <c r="B51" i="59"/>
  <c r="D51" i="59" l="1"/>
  <c r="D51" i="42"/>
  <c r="D50" i="19"/>
  <c r="D52" i="73"/>
  <c r="D52" i="72"/>
  <c r="D52" i="68"/>
  <c r="B51" i="19"/>
  <c r="C51" i="19"/>
  <c r="B53" i="73"/>
  <c r="B52" i="59"/>
  <c r="B53" i="72"/>
  <c r="B52" i="42"/>
  <c r="L48" i="6"/>
  <c r="A48" i="6" s="1"/>
  <c r="B48" i="6"/>
  <c r="C48" i="6" s="1"/>
  <c r="B53" i="68"/>
  <c r="D52" i="59"/>
  <c r="D52" i="42"/>
  <c r="D53" i="72"/>
  <c r="D51" i="19"/>
  <c r="D53" i="73"/>
  <c r="D53" i="68"/>
  <c r="E49" i="6"/>
  <c r="A74" i="14"/>
  <c r="A54" i="72"/>
  <c r="C54" i="72" s="1"/>
  <c r="A54" i="68"/>
  <c r="C54" i="68" s="1"/>
  <c r="A52" i="19"/>
  <c r="A53" i="59"/>
  <c r="C53" i="59" s="1"/>
  <c r="A54" i="73"/>
  <c r="C54" i="73" s="1"/>
  <c r="A53" i="42"/>
  <c r="C53" i="42" s="1"/>
  <c r="CS49" i="6"/>
  <c r="B52" i="19" l="1"/>
  <c r="C52" i="19"/>
  <c r="A75" i="14"/>
  <c r="A55" i="68"/>
  <c r="C55" i="68" s="1"/>
  <c r="E50" i="6"/>
  <c r="A54" i="59"/>
  <c r="C54" i="59" s="1"/>
  <c r="A55" i="73"/>
  <c r="C55" i="73" s="1"/>
  <c r="A54" i="42"/>
  <c r="C54" i="42" s="1"/>
  <c r="A53" i="19"/>
  <c r="A55" i="72"/>
  <c r="C55" i="72" s="1"/>
  <c r="B53" i="59"/>
  <c r="B54" i="73"/>
  <c r="B53" i="42"/>
  <c r="L49" i="6"/>
  <c r="A49" i="6" s="1"/>
  <c r="B49" i="6"/>
  <c r="C49" i="6" s="1"/>
  <c r="B54" i="72"/>
  <c r="B54" i="68"/>
  <c r="D53" i="59"/>
  <c r="D53" i="42"/>
  <c r="D54" i="72"/>
  <c r="D52" i="19"/>
  <c r="D54" i="73"/>
  <c r="D54" i="68"/>
  <c r="A56" i="68" l="1"/>
  <c r="C56" i="68" s="1"/>
  <c r="A55" i="59"/>
  <c r="C55" i="59" s="1"/>
  <c r="A56" i="73"/>
  <c r="C56" i="73" s="1"/>
  <c r="A55" i="42"/>
  <c r="C55" i="42" s="1"/>
  <c r="E51" i="6"/>
  <c r="A54" i="19"/>
  <c r="A76" i="14"/>
  <c r="A56" i="72"/>
  <c r="C56" i="72" s="1"/>
  <c r="CS51" i="6"/>
  <c r="CS50" i="6"/>
  <c r="B54" i="42"/>
  <c r="B50" i="6"/>
  <c r="C50" i="6" s="1"/>
  <c r="B55" i="73"/>
  <c r="B55" i="68"/>
  <c r="L50" i="6"/>
  <c r="A50" i="6" s="1"/>
  <c r="B54" i="59"/>
  <c r="B55" i="72"/>
  <c r="C53" i="19"/>
  <c r="B53" i="19"/>
  <c r="D54" i="59" l="1"/>
  <c r="D54" i="42"/>
  <c r="D55" i="72"/>
  <c r="D55" i="73"/>
  <c r="D55" i="68"/>
  <c r="D53" i="19"/>
  <c r="E52" i="6"/>
  <c r="A77" i="14"/>
  <c r="A57" i="72"/>
  <c r="C57" i="72" s="1"/>
  <c r="A57" i="68"/>
  <c r="C57" i="68" s="1"/>
  <c r="A55" i="19"/>
  <c r="A56" i="59"/>
  <c r="C56" i="59" s="1"/>
  <c r="A57" i="73"/>
  <c r="C57" i="73" s="1"/>
  <c r="A56" i="42"/>
  <c r="C56" i="42" s="1"/>
  <c r="B56" i="68"/>
  <c r="B55" i="59"/>
  <c r="B56" i="73"/>
  <c r="B55" i="42"/>
  <c r="L51" i="6"/>
  <c r="A51" i="6" s="1"/>
  <c r="B56" i="72"/>
  <c r="B51" i="6"/>
  <c r="C51" i="6" s="1"/>
  <c r="D55" i="59"/>
  <c r="D55" i="42"/>
  <c r="D56" i="72"/>
  <c r="D56" i="68"/>
  <c r="D54" i="19"/>
  <c r="D56" i="73"/>
  <c r="C54" i="19"/>
  <c r="B54" i="19"/>
  <c r="A57" i="42" l="1"/>
  <c r="C57" i="42" s="1"/>
  <c r="A78" i="14"/>
  <c r="A58" i="72"/>
  <c r="C58" i="72" s="1"/>
  <c r="A58" i="68"/>
  <c r="C58" i="68" s="1"/>
  <c r="E53" i="6"/>
  <c r="CS53" i="6" s="1"/>
  <c r="A57" i="59"/>
  <c r="C57" i="59" s="1"/>
  <c r="A58" i="73"/>
  <c r="C58" i="73" s="1"/>
  <c r="A56" i="19"/>
  <c r="C55" i="19"/>
  <c r="B55" i="19"/>
  <c r="CS52" i="6"/>
  <c r="B57" i="73"/>
  <c r="B56" i="59"/>
  <c r="B57" i="72"/>
  <c r="B56" i="42"/>
  <c r="B52" i="6"/>
  <c r="C52" i="6" s="1"/>
  <c r="B57" i="68"/>
  <c r="L52" i="6"/>
  <c r="A52" i="6" s="1"/>
  <c r="D56" i="59" l="1"/>
  <c r="D56" i="42"/>
  <c r="D55" i="19"/>
  <c r="D57" i="73"/>
  <c r="D57" i="72"/>
  <c r="D57" i="68"/>
  <c r="B56" i="19"/>
  <c r="C56" i="19"/>
  <c r="B58" i="72"/>
  <c r="B58" i="68"/>
  <c r="B53" i="6"/>
  <c r="C53" i="6" s="1"/>
  <c r="B57" i="59"/>
  <c r="B58" i="73"/>
  <c r="B57" i="42"/>
  <c r="L53" i="6"/>
  <c r="A53" i="6" s="1"/>
  <c r="D57" i="59"/>
  <c r="D57" i="42"/>
  <c r="D56" i="19"/>
  <c r="D58" i="73"/>
  <c r="D58" i="72"/>
  <c r="D58" i="68"/>
  <c r="A58" i="59"/>
  <c r="C58" i="59" s="1"/>
  <c r="A59" i="73"/>
  <c r="C59" i="73" s="1"/>
  <c r="A58" i="42"/>
  <c r="C58" i="42" s="1"/>
  <c r="A79" i="14"/>
  <c r="A59" i="72"/>
  <c r="C59" i="72" s="1"/>
  <c r="A59" i="68"/>
  <c r="C59" i="68" s="1"/>
  <c r="E54" i="6"/>
  <c r="CS54" i="6" s="1"/>
  <c r="A57" i="19"/>
  <c r="D58" i="59" l="1"/>
  <c r="D58" i="42"/>
  <c r="D57" i="19"/>
  <c r="D59" i="73"/>
  <c r="D59" i="68"/>
  <c r="D59" i="72"/>
  <c r="B57" i="19"/>
  <c r="C57" i="19"/>
  <c r="A80" i="14"/>
  <c r="A60" i="68"/>
  <c r="C60" i="68" s="1"/>
  <c r="E55" i="6"/>
  <c r="A59" i="59"/>
  <c r="C59" i="59" s="1"/>
  <c r="A60" i="73"/>
  <c r="C60" i="73" s="1"/>
  <c r="A59" i="42"/>
  <c r="C59" i="42" s="1"/>
  <c r="A58" i="19"/>
  <c r="A60" i="72"/>
  <c r="C60" i="72" s="1"/>
  <c r="CS55" i="6"/>
  <c r="B58" i="59"/>
  <c r="B59" i="72"/>
  <c r="B58" i="42"/>
  <c r="B59" i="73"/>
  <c r="B59" i="68"/>
  <c r="L54" i="6"/>
  <c r="A54" i="6" s="1"/>
  <c r="B54" i="6"/>
  <c r="C54" i="6" s="1"/>
  <c r="D59" i="59" l="1"/>
  <c r="D59" i="42"/>
  <c r="D60" i="72"/>
  <c r="D60" i="68"/>
  <c r="D58" i="19"/>
  <c r="D60" i="73"/>
  <c r="C58" i="19"/>
  <c r="B58" i="19"/>
  <c r="B59" i="59"/>
  <c r="B60" i="72"/>
  <c r="B60" i="73"/>
  <c r="B60" i="68"/>
  <c r="B55" i="6"/>
  <c r="C55" i="6" s="1"/>
  <c r="B59" i="42"/>
  <c r="L55" i="6"/>
  <c r="A55" i="6" s="1"/>
  <c r="A61" i="68"/>
  <c r="C61" i="68" s="1"/>
  <c r="E56" i="6"/>
  <c r="CS56" i="6" s="1"/>
  <c r="A60" i="59"/>
  <c r="C60" i="59" s="1"/>
  <c r="A61" i="73"/>
  <c r="C61" i="73" s="1"/>
  <c r="A60" i="42"/>
  <c r="C60" i="42" s="1"/>
  <c r="A59" i="19"/>
  <c r="A81" i="14"/>
  <c r="A61" i="72"/>
  <c r="C61" i="72" s="1"/>
  <c r="D60" i="59" l="1"/>
  <c r="D60" i="42"/>
  <c r="D61" i="72"/>
  <c r="D59" i="19"/>
  <c r="D61" i="73"/>
  <c r="D61" i="68"/>
  <c r="B60" i="59"/>
  <c r="B60" i="42"/>
  <c r="B61" i="72"/>
  <c r="B61" i="68"/>
  <c r="B56" i="6"/>
  <c r="C56" i="6" s="1"/>
  <c r="B61" i="73"/>
  <c r="L56" i="6"/>
  <c r="A56" i="6" s="1"/>
  <c r="A62" i="72"/>
  <c r="C62" i="72" s="1"/>
  <c r="E57" i="6"/>
  <c r="A61" i="59"/>
  <c r="C61" i="59" s="1"/>
  <c r="A62" i="73"/>
  <c r="C62" i="73" s="1"/>
  <c r="A61" i="42"/>
  <c r="C61" i="42" s="1"/>
  <c r="A60" i="19"/>
  <c r="A82" i="14"/>
  <c r="A62" i="68"/>
  <c r="C62" i="68" s="1"/>
  <c r="C59" i="19"/>
  <c r="B59" i="19"/>
  <c r="A62" i="59" l="1"/>
  <c r="C62" i="59" s="1"/>
  <c r="A63" i="73"/>
  <c r="C63" i="73" s="1"/>
  <c r="A62" i="42"/>
  <c r="C62" i="42" s="1"/>
  <c r="A61" i="19"/>
  <c r="A83" i="14"/>
  <c r="A63" i="72"/>
  <c r="C63" i="72" s="1"/>
  <c r="A63" i="68"/>
  <c r="C63" i="68" s="1"/>
  <c r="E58" i="6"/>
  <c r="CS58" i="6"/>
  <c r="C60" i="19"/>
  <c r="B60" i="19"/>
  <c r="CS57" i="6"/>
  <c r="B62" i="73"/>
  <c r="B61" i="59"/>
  <c r="B62" i="72"/>
  <c r="B61" i="42"/>
  <c r="B57" i="6"/>
  <c r="C57" i="6" s="1"/>
  <c r="B62" i="68"/>
  <c r="L57" i="6"/>
  <c r="A57" i="6" s="1"/>
  <c r="D61" i="59" l="1"/>
  <c r="D61" i="42"/>
  <c r="D62" i="72"/>
  <c r="D60" i="19"/>
  <c r="D62" i="73"/>
  <c r="D62" i="68"/>
  <c r="A84" i="14"/>
  <c r="A64" i="72"/>
  <c r="C64" i="72" s="1"/>
  <c r="A64" i="68"/>
  <c r="C64" i="68" s="1"/>
  <c r="A62" i="19"/>
  <c r="A63" i="59"/>
  <c r="C63" i="59" s="1"/>
  <c r="A64" i="73"/>
  <c r="C64" i="73" s="1"/>
  <c r="A63" i="42"/>
  <c r="C63" i="42" s="1"/>
  <c r="E59" i="6"/>
  <c r="B62" i="59"/>
  <c r="B63" i="73"/>
  <c r="B62" i="42"/>
  <c r="B63" i="72"/>
  <c r="B63" i="68"/>
  <c r="B58" i="6"/>
  <c r="C58" i="6" s="1"/>
  <c r="L58" i="6"/>
  <c r="A58" i="6" s="1"/>
  <c r="D62" i="59"/>
  <c r="D62" i="42"/>
  <c r="D63" i="73"/>
  <c r="D63" i="68"/>
  <c r="D61" i="19"/>
  <c r="D63" i="72"/>
  <c r="C61" i="19"/>
  <c r="B61" i="19"/>
  <c r="CS59" i="6" l="1"/>
  <c r="B63" i="42"/>
  <c r="B64" i="73"/>
  <c r="B64" i="68"/>
  <c r="L59" i="6"/>
  <c r="A59" i="6" s="1"/>
  <c r="B59" i="6"/>
  <c r="C59" i="6" s="1"/>
  <c r="B63" i="59"/>
  <c r="B64" i="72"/>
  <c r="A65" i="68"/>
  <c r="C65" i="68" s="1"/>
  <c r="A63" i="19"/>
  <c r="A64" i="59"/>
  <c r="C64" i="59" s="1"/>
  <c r="A65" i="73"/>
  <c r="C65" i="73" s="1"/>
  <c r="A64" i="42"/>
  <c r="C64" i="42" s="1"/>
  <c r="A85" i="14"/>
  <c r="A65" i="72"/>
  <c r="C65" i="72" s="1"/>
  <c r="E60" i="6"/>
  <c r="C62" i="19"/>
  <c r="B62" i="19"/>
  <c r="B64" i="59" l="1"/>
  <c r="B65" i="73"/>
  <c r="B64" i="42"/>
  <c r="L60" i="6"/>
  <c r="A60" i="6" s="1"/>
  <c r="B60" i="6"/>
  <c r="C60" i="6" s="1"/>
  <c r="B65" i="72"/>
  <c r="B65" i="68"/>
  <c r="CS60" i="6"/>
  <c r="A86" i="14"/>
  <c r="A66" i="72"/>
  <c r="C66" i="72" s="1"/>
  <c r="A66" i="68"/>
  <c r="C66" i="68" s="1"/>
  <c r="A65" i="59"/>
  <c r="C65" i="59" s="1"/>
  <c r="A66" i="73"/>
  <c r="C66" i="73" s="1"/>
  <c r="A65" i="42"/>
  <c r="C65" i="42" s="1"/>
  <c r="A64" i="19"/>
  <c r="E61" i="6"/>
  <c r="CS61" i="6" s="1"/>
  <c r="B63" i="19"/>
  <c r="C63" i="19"/>
  <c r="D63" i="59"/>
  <c r="D63" i="42"/>
  <c r="D64" i="73"/>
  <c r="D64" i="72"/>
  <c r="D64" i="68"/>
  <c r="D62" i="19"/>
  <c r="D65" i="59" l="1"/>
  <c r="D65" i="42"/>
  <c r="D64" i="19"/>
  <c r="D66" i="72"/>
  <c r="D66" i="68"/>
  <c r="D66" i="73"/>
  <c r="C64" i="19"/>
  <c r="B64" i="19"/>
  <c r="A66" i="59"/>
  <c r="C66" i="59" s="1"/>
  <c r="A87" i="14"/>
  <c r="A67" i="72"/>
  <c r="C67" i="72" s="1"/>
  <c r="A67" i="68"/>
  <c r="C67" i="68" s="1"/>
  <c r="A65" i="19"/>
  <c r="A67" i="73"/>
  <c r="C67" i="73" s="1"/>
  <c r="A66" i="42"/>
  <c r="C66" i="42" s="1"/>
  <c r="E62" i="6"/>
  <c r="CS62" i="6" s="1"/>
  <c r="B65" i="59"/>
  <c r="B66" i="72"/>
  <c r="B65" i="42"/>
  <c r="B66" i="73"/>
  <c r="B66" i="68"/>
  <c r="B61" i="6"/>
  <c r="C61" i="6" s="1"/>
  <c r="L61" i="6"/>
  <c r="A61" i="6" s="1"/>
  <c r="D64" i="59"/>
  <c r="D64" i="42"/>
  <c r="D63" i="19"/>
  <c r="D65" i="72"/>
  <c r="D65" i="68"/>
  <c r="D65" i="73"/>
  <c r="D66" i="59" l="1"/>
  <c r="D66" i="42"/>
  <c r="D67" i="72"/>
  <c r="D67" i="73"/>
  <c r="D67" i="68"/>
  <c r="D65" i="19"/>
  <c r="C65" i="19"/>
  <c r="B65" i="19"/>
  <c r="B67" i="72"/>
  <c r="B67" i="68"/>
  <c r="B66" i="59"/>
  <c r="B67" i="73"/>
  <c r="B66" i="42"/>
  <c r="L62" i="6"/>
  <c r="A62" i="6" s="1"/>
  <c r="B62" i="6"/>
  <c r="C62" i="6" s="1"/>
  <c r="A88" i="14"/>
  <c r="A68" i="72"/>
  <c r="C68" i="72" s="1"/>
  <c r="A68" i="68"/>
  <c r="C68" i="68" s="1"/>
  <c r="E63" i="6"/>
  <c r="A66" i="19"/>
  <c r="A67" i="59"/>
  <c r="C67" i="59" s="1"/>
  <c r="A68" i="73"/>
  <c r="C68" i="73" s="1"/>
  <c r="A67" i="42"/>
  <c r="C67" i="42" s="1"/>
  <c r="B66" i="19" l="1"/>
  <c r="C66" i="19"/>
  <c r="A69" i="68"/>
  <c r="C69" i="68" s="1"/>
  <c r="A67" i="19"/>
  <c r="A68" i="59"/>
  <c r="C68" i="59" s="1"/>
  <c r="A69" i="73"/>
  <c r="C69" i="73" s="1"/>
  <c r="A68" i="42"/>
  <c r="C68" i="42" s="1"/>
  <c r="E64" i="6"/>
  <c r="A89" i="14"/>
  <c r="A69" i="72"/>
  <c r="C69" i="72" s="1"/>
  <c r="CS63" i="6"/>
  <c r="B67" i="59"/>
  <c r="B68" i="72"/>
  <c r="B68" i="73"/>
  <c r="B68" i="68"/>
  <c r="L63" i="6"/>
  <c r="A63" i="6" s="1"/>
  <c r="B63" i="6"/>
  <c r="C63" i="6" s="1"/>
  <c r="B67" i="42"/>
  <c r="A70" i="68" l="1"/>
  <c r="C70" i="68" s="1"/>
  <c r="A69" i="59"/>
  <c r="C69" i="59" s="1"/>
  <c r="A70" i="73"/>
  <c r="C70" i="73" s="1"/>
  <c r="A69" i="42"/>
  <c r="C69" i="42" s="1"/>
  <c r="A68" i="19"/>
  <c r="A90" i="14"/>
  <c r="A70" i="72"/>
  <c r="C70" i="72" s="1"/>
  <c r="E65" i="6"/>
  <c r="C67" i="19"/>
  <c r="B67" i="19"/>
  <c r="D67" i="59"/>
  <c r="D67" i="42"/>
  <c r="D68" i="72"/>
  <c r="D68" i="68"/>
  <c r="D66" i="19"/>
  <c r="D68" i="73"/>
  <c r="CS64" i="6"/>
  <c r="B68" i="42"/>
  <c r="B69" i="73"/>
  <c r="B69" i="68"/>
  <c r="L64" i="6"/>
  <c r="A64" i="6" s="1"/>
  <c r="B68" i="59"/>
  <c r="B69" i="72"/>
  <c r="B64" i="6"/>
  <c r="C64" i="6" s="1"/>
  <c r="B69" i="59" l="1"/>
  <c r="B70" i="73"/>
  <c r="B69" i="42"/>
  <c r="L65" i="6"/>
  <c r="A65" i="6" s="1"/>
  <c r="B65" i="6"/>
  <c r="C65" i="6" s="1"/>
  <c r="B70" i="72"/>
  <c r="B70" i="68"/>
  <c r="D68" i="59"/>
  <c r="D68" i="42"/>
  <c r="D67" i="19"/>
  <c r="D69" i="73"/>
  <c r="D69" i="72"/>
  <c r="D69" i="68"/>
  <c r="CS65" i="6"/>
  <c r="C68" i="19"/>
  <c r="B68" i="19"/>
  <c r="A69" i="19"/>
  <c r="A70" i="42"/>
  <c r="C70" i="42" s="1"/>
  <c r="A71" i="72"/>
  <c r="C71" i="72" s="1"/>
  <c r="A71" i="68"/>
  <c r="C71" i="68" s="1"/>
  <c r="E66" i="6"/>
  <c r="A70" i="59"/>
  <c r="C70" i="59" s="1"/>
  <c r="A71" i="73"/>
  <c r="C71" i="73" s="1"/>
  <c r="A91" i="14"/>
  <c r="CS66" i="6"/>
  <c r="A71" i="59" l="1"/>
  <c r="C71" i="59" s="1"/>
  <c r="A72" i="73"/>
  <c r="C72" i="73" s="1"/>
  <c r="A92" i="14"/>
  <c r="A70" i="19"/>
  <c r="A71" i="42"/>
  <c r="C71" i="42" s="1"/>
  <c r="A72" i="72"/>
  <c r="C72" i="72" s="1"/>
  <c r="A72" i="68"/>
  <c r="C72" i="68" s="1"/>
  <c r="E67" i="6"/>
  <c r="CS67" i="6" s="1"/>
  <c r="D69" i="59"/>
  <c r="D69" i="42"/>
  <c r="D68" i="19"/>
  <c r="D70" i="73"/>
  <c r="D70" i="72"/>
  <c r="D70" i="68"/>
  <c r="D70" i="59"/>
  <c r="D70" i="42"/>
  <c r="D71" i="73"/>
  <c r="D71" i="72"/>
  <c r="D71" i="68"/>
  <c r="D69" i="19"/>
  <c r="B70" i="42"/>
  <c r="B71" i="72"/>
  <c r="B71" i="68"/>
  <c r="L66" i="6"/>
  <c r="A66" i="6" s="1"/>
  <c r="B70" i="59"/>
  <c r="B71" i="73"/>
  <c r="B66" i="6"/>
  <c r="C66" i="6" s="1"/>
  <c r="B69" i="19"/>
  <c r="C69" i="19"/>
  <c r="B72" i="73" l="1"/>
  <c r="B71" i="42"/>
  <c r="B72" i="72"/>
  <c r="B72" i="68"/>
  <c r="B71" i="59"/>
  <c r="L67" i="6"/>
  <c r="A67" i="6" s="1"/>
  <c r="B67" i="6"/>
  <c r="C67" i="6" s="1"/>
  <c r="C70" i="19"/>
  <c r="B70" i="19"/>
  <c r="D71" i="59"/>
  <c r="D71" i="42"/>
  <c r="D70" i="19"/>
  <c r="D72" i="73"/>
  <c r="D72" i="72"/>
  <c r="D72" i="68"/>
  <c r="A72" i="42"/>
  <c r="C72" i="42" s="1"/>
  <c r="A73" i="72"/>
  <c r="C73" i="72" s="1"/>
  <c r="A71" i="19"/>
  <c r="A72" i="59"/>
  <c r="C72" i="59" s="1"/>
  <c r="A73" i="73"/>
  <c r="C73" i="73" s="1"/>
  <c r="A93" i="14"/>
  <c r="A73" i="68"/>
  <c r="C73" i="68" s="1"/>
  <c r="E68" i="6"/>
  <c r="CS68" i="6" s="1"/>
  <c r="E70" i="6" l="1"/>
  <c r="B70" i="6" s="1"/>
  <c r="C70" i="6" s="1"/>
  <c r="D72" i="59"/>
  <c r="D72" i="42"/>
  <c r="D73" i="73"/>
  <c r="D71" i="19"/>
  <c r="D73" i="72"/>
  <c r="D73" i="68"/>
  <c r="C71" i="19"/>
  <c r="B71" i="19"/>
  <c r="B72" i="59"/>
  <c r="B73" i="73"/>
  <c r="L68" i="6"/>
  <c r="A68" i="6" s="1"/>
  <c r="B72" i="42"/>
  <c r="B73" i="72"/>
  <c r="B73" i="68"/>
  <c r="B68" i="6"/>
  <c r="C68" i="6" s="1"/>
  <c r="A73" i="42"/>
  <c r="C73" i="42" s="1"/>
  <c r="A74" i="72"/>
  <c r="C74" i="72" s="1"/>
  <c r="A74" i="68"/>
  <c r="C74" i="68" s="1"/>
  <c r="A73" i="59"/>
  <c r="C73" i="59" s="1"/>
  <c r="A74" i="73"/>
  <c r="C74" i="73" s="1"/>
  <c r="A94" i="14"/>
  <c r="E69" i="6"/>
  <c r="CS69" i="6" s="1"/>
  <c r="A72" i="19"/>
  <c r="CS70" i="6" l="1"/>
  <c r="E71" i="6"/>
  <c r="B71" i="6" s="1"/>
  <c r="C71" i="6" s="1"/>
  <c r="D73" i="59"/>
  <c r="D73" i="42"/>
  <c r="D74" i="72"/>
  <c r="Z67" i="75" s="1"/>
  <c r="D74" i="68"/>
  <c r="D72" i="19"/>
  <c r="AK58" i="75" s="1"/>
  <c r="D74" i="73"/>
  <c r="T79" i="75" s="1"/>
  <c r="C72" i="19"/>
  <c r="B72" i="19"/>
  <c r="B74" i="73"/>
  <c r="B73" i="42"/>
  <c r="B69" i="6"/>
  <c r="C69" i="6" s="1"/>
  <c r="B73" i="59"/>
  <c r="B74" i="72"/>
  <c r="B74" i="68"/>
  <c r="L69" i="6"/>
  <c r="A69" i="6" s="1"/>
  <c r="Q95" i="6" s="1"/>
  <c r="AE98" i="75" l="1"/>
  <c r="AC39" i="75"/>
  <c r="AC35" i="75"/>
  <c r="AB39" i="75"/>
  <c r="AB35" i="75"/>
  <c r="AA39" i="75"/>
  <c r="AD39" i="75"/>
  <c r="AA35" i="75"/>
  <c r="AD35" i="75"/>
  <c r="AE39" i="75"/>
  <c r="AE35" i="75"/>
  <c r="AB43" i="75"/>
  <c r="AE43" i="75"/>
  <c r="AD43" i="75"/>
  <c r="AC43" i="75"/>
  <c r="AA43" i="75"/>
  <c r="AA47" i="75"/>
  <c r="AB47" i="75"/>
  <c r="AC47" i="75"/>
  <c r="AE47" i="75"/>
  <c r="AD47" i="75"/>
  <c r="AD51" i="75"/>
  <c r="AA51" i="75"/>
  <c r="AE51" i="75"/>
  <c r="AD55" i="75"/>
  <c r="AC51" i="75"/>
  <c r="AB51" i="75"/>
  <c r="AC55" i="75"/>
  <c r="AB55" i="75"/>
  <c r="AA55" i="75"/>
  <c r="AB59" i="75"/>
  <c r="AE55" i="75"/>
  <c r="AD59" i="75"/>
  <c r="AC59" i="75"/>
  <c r="AE59" i="75"/>
  <c r="AA59" i="75"/>
  <c r="AD42" i="75"/>
  <c r="AA38" i="75"/>
  <c r="AB42" i="75"/>
  <c r="AD38" i="75"/>
  <c r="AA42" i="75"/>
  <c r="AC42" i="75"/>
  <c r="AE42" i="75"/>
  <c r="AB38" i="75"/>
  <c r="AC38" i="75"/>
  <c r="AE38" i="75"/>
  <c r="AD81" i="75"/>
  <c r="AE36" i="75"/>
  <c r="AC64" i="75"/>
  <c r="AC60" i="75"/>
  <c r="AD69" i="75"/>
  <c r="AB44" i="75"/>
  <c r="AB48" i="75"/>
  <c r="AB56" i="75"/>
  <c r="AA40" i="75"/>
  <c r="AB60" i="75"/>
  <c r="AC61" i="75"/>
  <c r="AE93" i="75"/>
  <c r="AD60" i="75"/>
  <c r="AD93" i="75"/>
  <c r="AD72" i="75"/>
  <c r="AE46" i="75"/>
  <c r="AB36" i="75"/>
  <c r="AD76" i="75"/>
  <c r="AD77" i="75"/>
  <c r="AB57" i="75"/>
  <c r="AE67" i="75"/>
  <c r="AC46" i="75"/>
  <c r="AA76" i="75"/>
  <c r="AC67" i="75"/>
  <c r="AA80" i="75"/>
  <c r="AA52" i="75"/>
  <c r="AC63" i="75"/>
  <c r="AA71" i="75"/>
  <c r="AB84" i="75"/>
  <c r="AE40" i="75"/>
  <c r="AB93" i="75"/>
  <c r="AD40" i="75"/>
  <c r="AB69" i="75"/>
  <c r="AE58" i="75"/>
  <c r="AC62" i="75"/>
  <c r="AE60" i="75"/>
  <c r="AA58" i="75"/>
  <c r="AD85" i="75"/>
  <c r="AC77" i="75"/>
  <c r="AE77" i="75"/>
  <c r="AA64" i="75"/>
  <c r="AA68" i="75"/>
  <c r="AD75" i="75"/>
  <c r="AC36" i="75"/>
  <c r="AA72" i="75"/>
  <c r="AB80" i="75"/>
  <c r="AB67" i="75"/>
  <c r="AE64" i="75"/>
  <c r="AD50" i="75"/>
  <c r="AE83" i="75"/>
  <c r="AC71" i="75"/>
  <c r="AA83" i="75"/>
  <c r="AB46" i="75"/>
  <c r="AD56" i="75"/>
  <c r="AE85" i="75"/>
  <c r="AD71" i="75"/>
  <c r="AA91" i="75"/>
  <c r="AE44" i="75"/>
  <c r="AD83" i="75"/>
  <c r="AA54" i="75"/>
  <c r="AC50" i="75"/>
  <c r="AA65" i="75"/>
  <c r="AA48" i="75"/>
  <c r="AB61" i="75"/>
  <c r="AC79" i="75"/>
  <c r="AC52" i="75"/>
  <c r="AB62" i="75"/>
  <c r="AD84" i="75"/>
  <c r="AD52" i="75"/>
  <c r="AE65" i="75"/>
  <c r="AE91" i="75"/>
  <c r="AA89" i="75"/>
  <c r="AD87" i="75"/>
  <c r="AE89" i="75"/>
  <c r="AB83" i="75"/>
  <c r="AD67" i="75"/>
  <c r="AC76" i="75"/>
  <c r="AE72" i="75"/>
  <c r="AB40" i="75"/>
  <c r="AE73" i="75"/>
  <c r="AA85" i="75"/>
  <c r="AC58" i="75"/>
  <c r="AE69" i="75"/>
  <c r="AD48" i="75"/>
  <c r="AC83" i="75"/>
  <c r="AD89" i="75"/>
  <c r="AE75" i="75"/>
  <c r="AA50" i="75"/>
  <c r="AA81" i="75"/>
  <c r="AD68" i="75"/>
  <c r="AE71" i="75"/>
  <c r="AD54" i="75"/>
  <c r="AC91" i="75"/>
  <c r="AA36" i="75"/>
  <c r="AB76" i="75"/>
  <c r="AB58" i="75"/>
  <c r="AE84" i="75"/>
  <c r="AD57" i="75"/>
  <c r="AC80" i="75"/>
  <c r="AB89" i="75"/>
  <c r="AC56" i="75"/>
  <c r="AC44" i="75"/>
  <c r="AB75" i="75"/>
  <c r="AD73" i="75"/>
  <c r="AB71" i="75"/>
  <c r="AA57" i="75"/>
  <c r="AD64" i="75"/>
  <c r="AB91" i="75"/>
  <c r="AE76" i="75"/>
  <c r="AE48" i="75"/>
  <c r="AE62" i="75"/>
  <c r="AB68" i="75"/>
  <c r="AE52" i="75"/>
  <c r="AE68" i="75"/>
  <c r="AE79" i="75"/>
  <c r="AB77" i="75"/>
  <c r="AB73" i="75"/>
  <c r="AD91" i="75"/>
  <c r="AC40" i="75"/>
  <c r="AB64" i="75"/>
  <c r="AA69" i="75"/>
  <c r="AD61" i="75"/>
  <c r="AE50" i="75"/>
  <c r="AA87" i="75"/>
  <c r="AC87" i="75"/>
  <c r="AA84" i="75"/>
  <c r="AD46" i="75"/>
  <c r="AC85" i="75"/>
  <c r="AC72" i="75"/>
  <c r="AC68" i="75"/>
  <c r="AE63" i="75"/>
  <c r="AD62" i="75"/>
  <c r="AB50" i="75"/>
  <c r="AD80" i="75"/>
  <c r="AC81" i="75"/>
  <c r="AA56" i="75"/>
  <c r="AA67" i="75"/>
  <c r="AE80" i="75"/>
  <c r="AA79" i="75"/>
  <c r="AD44" i="75"/>
  <c r="AA62" i="75"/>
  <c r="AA77" i="75"/>
  <c r="AE81" i="75"/>
  <c r="AE54" i="75"/>
  <c r="AD63" i="75"/>
  <c r="AA60" i="75"/>
  <c r="AE61" i="75"/>
  <c r="AA61" i="75"/>
  <c r="AB72" i="75"/>
  <c r="AA44" i="75"/>
  <c r="AB85" i="75"/>
  <c r="AB81" i="75"/>
  <c r="AE57" i="75"/>
  <c r="AC75" i="75"/>
  <c r="AA63" i="75"/>
  <c r="AC93" i="75"/>
  <c r="AD65" i="75"/>
  <c r="AA75" i="75"/>
  <c r="AA93" i="75"/>
  <c r="AC54" i="75"/>
  <c r="AC48" i="75"/>
  <c r="AA46" i="75"/>
  <c r="AE56" i="75"/>
  <c r="AD58" i="75"/>
  <c r="AC57" i="75"/>
  <c r="AB87" i="75"/>
  <c r="AC69" i="75"/>
  <c r="AA73" i="75"/>
  <c r="AC84" i="75"/>
  <c r="AC65" i="75"/>
  <c r="AC73" i="75"/>
  <c r="AB54" i="75"/>
  <c r="AD79" i="75"/>
  <c r="AB63" i="75"/>
  <c r="AB52" i="75"/>
  <c r="AC89" i="75"/>
  <c r="AD36" i="75"/>
  <c r="AB79" i="75"/>
  <c r="AB65" i="75"/>
  <c r="AE87" i="75"/>
  <c r="N37" i="75"/>
  <c r="N39" i="75"/>
  <c r="M35" i="75"/>
  <c r="N35" i="75"/>
  <c r="O39" i="75"/>
  <c r="L39" i="75"/>
  <c r="P35" i="75"/>
  <c r="P39" i="75"/>
  <c r="M39" i="75"/>
  <c r="O35" i="75"/>
  <c r="L35" i="75"/>
  <c r="N43" i="75"/>
  <c r="L43" i="75"/>
  <c r="P43" i="75"/>
  <c r="O43" i="75"/>
  <c r="M43" i="75"/>
  <c r="P47" i="75"/>
  <c r="M47" i="75"/>
  <c r="N47" i="75"/>
  <c r="O47" i="75"/>
  <c r="L51" i="75"/>
  <c r="L47" i="75"/>
  <c r="P51" i="75"/>
  <c r="O51" i="75"/>
  <c r="N51" i="75"/>
  <c r="M51" i="75"/>
  <c r="N55" i="75"/>
  <c r="M55" i="75"/>
  <c r="P55" i="75"/>
  <c r="L55" i="75"/>
  <c r="O55" i="75"/>
  <c r="L42" i="75"/>
  <c r="O42" i="75"/>
  <c r="P38" i="75"/>
  <c r="L38" i="75"/>
  <c r="O38" i="75"/>
  <c r="N38" i="75"/>
  <c r="P42" i="75"/>
  <c r="N42" i="75"/>
  <c r="M38" i="75"/>
  <c r="M42" i="75"/>
  <c r="P87" i="75"/>
  <c r="M44" i="75"/>
  <c r="O62" i="75"/>
  <c r="O79" i="75"/>
  <c r="N61" i="75"/>
  <c r="L56" i="75"/>
  <c r="M76" i="75"/>
  <c r="P59" i="75"/>
  <c r="N73" i="75"/>
  <c r="P56" i="75"/>
  <c r="M48" i="75"/>
  <c r="N68" i="75"/>
  <c r="M50" i="75"/>
  <c r="O73" i="75"/>
  <c r="P93" i="75"/>
  <c r="O80" i="75"/>
  <c r="P89" i="75"/>
  <c r="M46" i="75"/>
  <c r="P80" i="75"/>
  <c r="M72" i="75"/>
  <c r="L67" i="75"/>
  <c r="O58" i="75"/>
  <c r="N64" i="75"/>
  <c r="P52" i="75"/>
  <c r="M60" i="75"/>
  <c r="N75" i="75"/>
  <c r="P63" i="75"/>
  <c r="L87" i="75"/>
  <c r="P68" i="75"/>
  <c r="L89" i="75"/>
  <c r="O72" i="75"/>
  <c r="P36" i="75"/>
  <c r="O69" i="75"/>
  <c r="L61" i="75"/>
  <c r="M81" i="75"/>
  <c r="L63" i="75"/>
  <c r="M56" i="75"/>
  <c r="N44" i="75"/>
  <c r="N93" i="75"/>
  <c r="N40" i="75"/>
  <c r="L59" i="75"/>
  <c r="O93" i="75"/>
  <c r="L85" i="75"/>
  <c r="P79" i="75"/>
  <c r="N71" i="75"/>
  <c r="M77" i="75"/>
  <c r="O65" i="75"/>
  <c r="L73" i="75"/>
  <c r="O91" i="75"/>
  <c r="O76" i="75"/>
  <c r="L36" i="75"/>
  <c r="O81" i="75"/>
  <c r="N52" i="75"/>
  <c r="N85" i="75"/>
  <c r="O57" i="75"/>
  <c r="M52" i="75"/>
  <c r="P73" i="75"/>
  <c r="O68" i="75"/>
  <c r="P75" i="75"/>
  <c r="L69" i="75"/>
  <c r="N60" i="75"/>
  <c r="L44" i="75"/>
  <c r="P54" i="75"/>
  <c r="P71" i="75"/>
  <c r="L57" i="75"/>
  <c r="L50" i="75"/>
  <c r="P44" i="75"/>
  <c r="M84" i="75"/>
  <c r="M58" i="75"/>
  <c r="M91" i="75"/>
  <c r="P85" i="75"/>
  <c r="O56" i="75"/>
  <c r="N89" i="75"/>
  <c r="M79" i="75"/>
  <c r="P57" i="75"/>
  <c r="M65" i="75"/>
  <c r="P48" i="75"/>
  <c r="M83" i="75"/>
  <c r="L65" i="75"/>
  <c r="L58" i="75"/>
  <c r="N81" i="75"/>
  <c r="L52" i="75"/>
  <c r="P81" i="75"/>
  <c r="M73" i="75"/>
  <c r="L60" i="75"/>
  <c r="O67" i="75"/>
  <c r="O84" i="75"/>
  <c r="P69" i="75"/>
  <c r="P62" i="75"/>
  <c r="L64" i="75"/>
  <c r="P50" i="75"/>
  <c r="L71" i="75"/>
  <c r="M40" i="75"/>
  <c r="L62" i="75"/>
  <c r="N69" i="75"/>
  <c r="L40" i="75"/>
  <c r="P61" i="75"/>
  <c r="N83" i="75"/>
  <c r="O36" i="75"/>
  <c r="O61" i="75"/>
  <c r="P65" i="75"/>
  <c r="P77" i="75"/>
  <c r="O83" i="75"/>
  <c r="N46" i="75"/>
  <c r="P64" i="75"/>
  <c r="P46" i="75"/>
  <c r="N57" i="75"/>
  <c r="P72" i="75"/>
  <c r="N80" i="75"/>
  <c r="N62" i="75"/>
  <c r="L46" i="75"/>
  <c r="O75" i="75"/>
  <c r="P76" i="75"/>
  <c r="O63" i="75"/>
  <c r="P83" i="75"/>
  <c r="O54" i="75"/>
  <c r="O87" i="75"/>
  <c r="N58" i="75"/>
  <c r="N54" i="75"/>
  <c r="N87" i="75"/>
  <c r="N48" i="75"/>
  <c r="O52" i="75"/>
  <c r="M87" i="75"/>
  <c r="N91" i="75"/>
  <c r="M57" i="75"/>
  <c r="O64" i="75"/>
  <c r="M59" i="75"/>
  <c r="O77" i="75"/>
  <c r="O59" i="75"/>
  <c r="L83" i="75"/>
  <c r="O85" i="75"/>
  <c r="M93" i="75"/>
  <c r="M75" i="75"/>
  <c r="P58" i="75"/>
  <c r="L79" i="75"/>
  <c r="O89" i="75"/>
  <c r="N76" i="75"/>
  <c r="N50" i="75"/>
  <c r="N67" i="75"/>
  <c r="M62" i="75"/>
  <c r="M71" i="75"/>
  <c r="M67" i="75"/>
  <c r="N36" i="75"/>
  <c r="M61" i="75"/>
  <c r="N65" i="75"/>
  <c r="O50" i="75"/>
  <c r="N56" i="75"/>
  <c r="O44" i="75"/>
  <c r="N77" i="75"/>
  <c r="L72" i="75"/>
  <c r="M36" i="75"/>
  <c r="N72" i="75"/>
  <c r="L48" i="75"/>
  <c r="M68" i="75"/>
  <c r="O40" i="75"/>
  <c r="M64" i="75"/>
  <c r="O71" i="75"/>
  <c r="P91" i="75"/>
  <c r="O46" i="75"/>
  <c r="M89" i="75"/>
  <c r="M63" i="75"/>
  <c r="M80" i="75"/>
  <c r="L75" i="75"/>
  <c r="L84" i="75"/>
  <c r="L80" i="75"/>
  <c r="L54" i="75"/>
  <c r="O48" i="75"/>
  <c r="L91" i="75"/>
  <c r="N63" i="75"/>
  <c r="M69" i="75"/>
  <c r="O60" i="75"/>
  <c r="P40" i="75"/>
  <c r="P84" i="75"/>
  <c r="N79" i="75"/>
  <c r="M85" i="75"/>
  <c r="P60" i="75"/>
  <c r="L81" i="75"/>
  <c r="P67" i="75"/>
  <c r="L77" i="75"/>
  <c r="N84" i="75"/>
  <c r="L68" i="75"/>
  <c r="N59" i="75"/>
  <c r="M54" i="75"/>
  <c r="L76" i="75"/>
  <c r="L93" i="75"/>
  <c r="AG37" i="75"/>
  <c r="AH39" i="75"/>
  <c r="AG35" i="75"/>
  <c r="AH35" i="75"/>
  <c r="AG39" i="75"/>
  <c r="AJ39" i="75"/>
  <c r="AI35" i="75"/>
  <c r="AF39" i="75"/>
  <c r="AI39" i="75"/>
  <c r="AJ35" i="75"/>
  <c r="AF35" i="75"/>
  <c r="AF43" i="75"/>
  <c r="AJ43" i="75"/>
  <c r="AH43" i="75"/>
  <c r="AI43" i="75"/>
  <c r="AG43" i="75"/>
  <c r="AH47" i="75"/>
  <c r="AJ47" i="75"/>
  <c r="AI51" i="75"/>
  <c r="AF47" i="75"/>
  <c r="AG47" i="75"/>
  <c r="AI47" i="75"/>
  <c r="AJ51" i="75"/>
  <c r="AH51" i="75"/>
  <c r="AF51" i="75"/>
  <c r="AG51" i="75"/>
  <c r="AI59" i="75"/>
  <c r="AF59" i="75"/>
  <c r="AG59" i="75"/>
  <c r="AG55" i="75"/>
  <c r="AF55" i="75"/>
  <c r="AJ59" i="75"/>
  <c r="AI55" i="75"/>
  <c r="AJ55" i="75"/>
  <c r="AH55" i="75"/>
  <c r="AH59" i="75"/>
  <c r="AH42" i="75"/>
  <c r="AF38" i="75"/>
  <c r="AF42" i="75"/>
  <c r="AG38" i="75"/>
  <c r="AJ42" i="75"/>
  <c r="AJ38" i="75"/>
  <c r="AH38" i="75"/>
  <c r="AI38" i="75"/>
  <c r="AI42" i="75"/>
  <c r="AG42" i="75"/>
  <c r="AJ85" i="75"/>
  <c r="AH62" i="75"/>
  <c r="AH80" i="75"/>
  <c r="AJ93" i="75"/>
  <c r="AJ79" i="75"/>
  <c r="AI91" i="75"/>
  <c r="AI87" i="75"/>
  <c r="AG64" i="75"/>
  <c r="AH93" i="75"/>
  <c r="AJ56" i="75"/>
  <c r="AH84" i="75"/>
  <c r="AG80" i="75"/>
  <c r="AH77" i="75"/>
  <c r="AG84" i="75"/>
  <c r="AF80" i="75"/>
  <c r="AF57" i="75"/>
  <c r="AH46" i="75"/>
  <c r="AH64" i="75"/>
  <c r="AI77" i="75"/>
  <c r="AH57" i="75"/>
  <c r="AH56" i="75"/>
  <c r="C35" i="75"/>
  <c r="D35" i="75"/>
  <c r="D39" i="75"/>
  <c r="E39" i="75"/>
  <c r="C39" i="75"/>
  <c r="E35" i="75"/>
  <c r="E43" i="75"/>
  <c r="C43" i="75"/>
  <c r="D43" i="75"/>
  <c r="D51" i="75"/>
  <c r="D47" i="75"/>
  <c r="C47" i="75"/>
  <c r="E51" i="75"/>
  <c r="C51" i="75"/>
  <c r="E47" i="75"/>
  <c r="D63" i="75"/>
  <c r="C55" i="75"/>
  <c r="D59" i="75"/>
  <c r="D55" i="75"/>
  <c r="E59" i="75"/>
  <c r="E55" i="75"/>
  <c r="C59" i="75"/>
  <c r="C67" i="75"/>
  <c r="E67" i="75"/>
  <c r="E63" i="75"/>
  <c r="D67" i="75"/>
  <c r="K39" i="75"/>
  <c r="I43" i="75"/>
  <c r="J35" i="75"/>
  <c r="I35" i="75"/>
  <c r="K35" i="75"/>
  <c r="J39" i="75"/>
  <c r="I39" i="75"/>
  <c r="J43" i="75"/>
  <c r="K43" i="75"/>
  <c r="J47" i="75"/>
  <c r="I47" i="75"/>
  <c r="I51" i="75"/>
  <c r="J51" i="75"/>
  <c r="K51" i="75"/>
  <c r="K47" i="75"/>
  <c r="J59" i="75"/>
  <c r="K59" i="75"/>
  <c r="J55" i="75"/>
  <c r="I59" i="75"/>
  <c r="I55" i="75"/>
  <c r="K55" i="75"/>
  <c r="I67" i="75"/>
  <c r="K63" i="75"/>
  <c r="J67" i="75"/>
  <c r="Z36" i="75"/>
  <c r="V54" i="75"/>
  <c r="Y60" i="75"/>
  <c r="V89" i="75"/>
  <c r="V65" i="75"/>
  <c r="Z81" i="75"/>
  <c r="W89" i="75"/>
  <c r="Z64" i="75"/>
  <c r="X48" i="75"/>
  <c r="Y76" i="75"/>
  <c r="V77" i="75"/>
  <c r="W63" i="75"/>
  <c r="Y40" i="75"/>
  <c r="W87" i="75"/>
  <c r="Z54" i="75"/>
  <c r="W40" i="75"/>
  <c r="Y68" i="75"/>
  <c r="V46" i="75"/>
  <c r="V67" i="75"/>
  <c r="S85" i="75"/>
  <c r="T62" i="75"/>
  <c r="R83" i="75"/>
  <c r="R57" i="75"/>
  <c r="S76" i="75"/>
  <c r="S50" i="75"/>
  <c r="Q62" i="75"/>
  <c r="R81" i="75"/>
  <c r="Q44" i="75"/>
  <c r="S79" i="75"/>
  <c r="S64" i="75"/>
  <c r="T83" i="75"/>
  <c r="S54" i="75"/>
  <c r="R72" i="75"/>
  <c r="T80" i="75"/>
  <c r="R75" i="75"/>
  <c r="S44" i="75"/>
  <c r="S73" i="75"/>
  <c r="Q40" i="75"/>
  <c r="R48" i="75"/>
  <c r="Q63" i="75"/>
  <c r="T67" i="75"/>
  <c r="Q48" i="75"/>
  <c r="S75" i="75"/>
  <c r="U83" i="75"/>
  <c r="Q61" i="75"/>
  <c r="U68" i="75"/>
  <c r="Q65" i="75"/>
  <c r="T71" i="75"/>
  <c r="T89" i="75"/>
  <c r="R85" i="75"/>
  <c r="U57" i="75"/>
  <c r="R80" i="75"/>
  <c r="R68" i="75"/>
  <c r="Q83" i="75"/>
  <c r="Q52" i="75"/>
  <c r="Q73" i="75"/>
  <c r="R73" i="75"/>
  <c r="T93" i="75"/>
  <c r="S67" i="75"/>
  <c r="T52" i="75"/>
  <c r="T57" i="75"/>
  <c r="Q36" i="75"/>
  <c r="S60" i="75"/>
  <c r="AK52" i="75"/>
  <c r="AK48" i="75"/>
  <c r="AK51" i="75"/>
  <c r="AK73" i="75"/>
  <c r="AK89" i="75"/>
  <c r="AK93" i="75"/>
  <c r="AK60" i="75"/>
  <c r="AK72" i="75"/>
  <c r="AJ62" i="75"/>
  <c r="AH89" i="75"/>
  <c r="AF84" i="75"/>
  <c r="AI93" i="75"/>
  <c r="AG81" i="75"/>
  <c r="AF60" i="75"/>
  <c r="AI73" i="75"/>
  <c r="AJ50" i="75"/>
  <c r="AJ83" i="75"/>
  <c r="AF56" i="75"/>
  <c r="AF76" i="75"/>
  <c r="AF85" i="75"/>
  <c r="AI36" i="75"/>
  <c r="AJ64" i="75"/>
  <c r="AH48" i="75"/>
  <c r="AJ87" i="75"/>
  <c r="AG79" i="75"/>
  <c r="AG67" i="75"/>
  <c r="AH71" i="75"/>
  <c r="AI64" i="75"/>
  <c r="AH67" i="75"/>
  <c r="AI71" i="75"/>
  <c r="AI56" i="75"/>
  <c r="AJ76" i="75"/>
  <c r="AF54" i="75"/>
  <c r="AH61" i="75"/>
  <c r="AJ52" i="75"/>
  <c r="AI50" i="75"/>
  <c r="AJ46" i="75"/>
  <c r="AG89" i="75"/>
  <c r="AG87" i="75"/>
  <c r="AF61" i="75"/>
  <c r="AH52" i="75"/>
  <c r="AG50" i="75"/>
  <c r="AJ40" i="75"/>
  <c r="AJ61" i="75"/>
  <c r="AJ67" i="75"/>
  <c r="AJ84" i="75"/>
  <c r="AH40" i="75"/>
  <c r="AF69" i="75"/>
  <c r="AG54" i="75"/>
  <c r="AF68" i="75"/>
  <c r="AJ54" i="75"/>
  <c r="AH65" i="75"/>
  <c r="AG60" i="75"/>
  <c r="AH91" i="75"/>
  <c r="AJ63" i="75"/>
  <c r="AH58" i="75"/>
  <c r="AJ57" i="75"/>
  <c r="AF89" i="75"/>
  <c r="AF79" i="75"/>
  <c r="AJ44" i="75"/>
  <c r="AF65" i="75"/>
  <c r="AG58" i="75"/>
  <c r="AJ71" i="75"/>
  <c r="AH50" i="75"/>
  <c r="AI46" i="75"/>
  <c r="AH60" i="75"/>
  <c r="AF36" i="75"/>
  <c r="AF77" i="75"/>
  <c r="AG62" i="75"/>
  <c r="AI72" i="75"/>
  <c r="AJ36" i="75"/>
  <c r="AG44" i="75"/>
  <c r="AG93" i="75"/>
  <c r="AG75" i="75"/>
  <c r="AH44" i="75"/>
  <c r="AI75" i="75"/>
  <c r="AF48" i="75"/>
  <c r="AG68" i="75"/>
  <c r="AF58" i="75"/>
  <c r="AI68" i="75"/>
  <c r="AJ72" i="75"/>
  <c r="AI62" i="75"/>
  <c r="AI63" i="75"/>
  <c r="AF40" i="75"/>
  <c r="AJ68" i="75"/>
  <c r="AH79" i="75"/>
  <c r="AG83" i="75"/>
  <c r="A12" i="81"/>
  <c r="A13" i="44"/>
  <c r="A12" i="80"/>
  <c r="A12" i="82"/>
  <c r="S45" i="75"/>
  <c r="R39" i="75"/>
  <c r="S35" i="75"/>
  <c r="U39" i="75"/>
  <c r="Q35" i="75"/>
  <c r="T39" i="75"/>
  <c r="U35" i="75"/>
  <c r="T35" i="75"/>
  <c r="S39" i="75"/>
  <c r="R35" i="75"/>
  <c r="Q39" i="75"/>
  <c r="R43" i="75"/>
  <c r="S43" i="75"/>
  <c r="Q47" i="75"/>
  <c r="T47" i="75"/>
  <c r="R47" i="75"/>
  <c r="S47" i="75"/>
  <c r="U47" i="75"/>
  <c r="Q43" i="75"/>
  <c r="U43" i="75"/>
  <c r="T43" i="75"/>
  <c r="R51" i="75"/>
  <c r="R55" i="75"/>
  <c r="Q51" i="75"/>
  <c r="T51" i="75"/>
  <c r="S51" i="75"/>
  <c r="U51" i="75"/>
  <c r="T59" i="75"/>
  <c r="Q59" i="75"/>
  <c r="U55" i="75"/>
  <c r="T55" i="75"/>
  <c r="Q55" i="75"/>
  <c r="S59" i="75"/>
  <c r="S55" i="75"/>
  <c r="U59" i="75"/>
  <c r="R59" i="75"/>
  <c r="R38" i="75"/>
  <c r="T42" i="75"/>
  <c r="U38" i="75"/>
  <c r="R42" i="75"/>
  <c r="S42" i="75"/>
  <c r="Q42" i="75"/>
  <c r="U42" i="75"/>
  <c r="T38" i="75"/>
  <c r="Q38" i="75"/>
  <c r="S38" i="75"/>
  <c r="U85" i="75"/>
  <c r="U64" i="75"/>
  <c r="T87" i="75"/>
  <c r="Q81" i="75"/>
  <c r="Q93" i="75"/>
  <c r="U52" i="75"/>
  <c r="U50" i="75"/>
  <c r="T77" i="75"/>
  <c r="S77" i="75"/>
  <c r="S61" i="75"/>
  <c r="U93" i="75"/>
  <c r="Q72" i="75"/>
  <c r="S65" i="75"/>
  <c r="T63" i="75"/>
  <c r="R52" i="75"/>
  <c r="T48" i="75"/>
  <c r="T69" i="75"/>
  <c r="Q57" i="75"/>
  <c r="T68" i="75"/>
  <c r="T36" i="75"/>
  <c r="Q80" i="75"/>
  <c r="T76" i="75"/>
  <c r="R93" i="75"/>
  <c r="U73" i="75"/>
  <c r="S46" i="75"/>
  <c r="Q87" i="75"/>
  <c r="R58" i="75"/>
  <c r="S71" i="75"/>
  <c r="S63" i="75"/>
  <c r="S72" i="75"/>
  <c r="U76" i="75"/>
  <c r="U79" i="75"/>
  <c r="S52" i="75"/>
  <c r="U89" i="75"/>
  <c r="Q84" i="75"/>
  <c r="Q71" i="75"/>
  <c r="U62" i="75"/>
  <c r="R79" i="75"/>
  <c r="U75" i="75"/>
  <c r="R50" i="75"/>
  <c r="R87" i="75"/>
  <c r="T58" i="75"/>
  <c r="U60" i="75"/>
  <c r="R62" i="75"/>
  <c r="S83" i="75"/>
  <c r="T50" i="75"/>
  <c r="Q75" i="75"/>
  <c r="U63" i="75"/>
  <c r="U81" i="75"/>
  <c r="T46" i="75"/>
  <c r="U56" i="75"/>
  <c r="T56" i="75"/>
  <c r="Q68" i="75"/>
  <c r="U87" i="75"/>
  <c r="Q46" i="75"/>
  <c r="T73" i="75"/>
  <c r="U40" i="75"/>
  <c r="S69" i="75"/>
  <c r="U54" i="75"/>
  <c r="U80" i="75"/>
  <c r="S93" i="75"/>
  <c r="Q85" i="75"/>
  <c r="Q67" i="75"/>
  <c r="S36" i="75"/>
  <c r="Q77" i="75"/>
  <c r="R71" i="75"/>
  <c r="S58" i="75"/>
  <c r="Q50" i="75"/>
  <c r="S87" i="75"/>
  <c r="R63" i="75"/>
  <c r="R89" i="75"/>
  <c r="U69" i="75"/>
  <c r="R44" i="75"/>
  <c r="U44" i="75"/>
  <c r="R77" i="75"/>
  <c r="Q58" i="75"/>
  <c r="U48" i="75"/>
  <c r="T64" i="75"/>
  <c r="R56" i="75"/>
  <c r="Q79" i="75"/>
  <c r="S81" i="75"/>
  <c r="S57" i="75"/>
  <c r="R40" i="75"/>
  <c r="S89" i="75"/>
  <c r="T44" i="75"/>
  <c r="T65" i="75"/>
  <c r="U71" i="75"/>
  <c r="T91" i="75"/>
  <c r="U65" i="75"/>
  <c r="R84" i="75"/>
  <c r="Q60" i="75"/>
  <c r="AK98" i="75"/>
  <c r="AK39" i="75"/>
  <c r="AK47" i="75"/>
  <c r="AK35" i="75"/>
  <c r="AK43" i="75"/>
  <c r="AK38" i="75"/>
  <c r="AK42" i="75"/>
  <c r="AK81" i="75"/>
  <c r="AK71" i="75"/>
  <c r="AK77" i="75"/>
  <c r="AK40" i="75"/>
  <c r="AK36" i="75"/>
  <c r="AK46" i="75"/>
  <c r="AK57" i="75"/>
  <c r="AK91" i="75"/>
  <c r="AK63" i="75"/>
  <c r="AK67" i="75"/>
  <c r="AK59" i="75"/>
  <c r="AK83" i="75"/>
  <c r="AK61" i="75"/>
  <c r="AK64" i="75"/>
  <c r="AK68" i="75"/>
  <c r="AK44" i="75"/>
  <c r="AK84" i="75"/>
  <c r="AK62" i="75"/>
  <c r="AK50" i="75"/>
  <c r="AK69" i="75"/>
  <c r="V53" i="75"/>
  <c r="X39" i="75"/>
  <c r="Y35" i="75"/>
  <c r="X35" i="75"/>
  <c r="Z39" i="75"/>
  <c r="V39" i="75"/>
  <c r="W35" i="75"/>
  <c r="V35" i="75"/>
  <c r="Z35" i="75"/>
  <c r="Y39" i="75"/>
  <c r="W39" i="75"/>
  <c r="Y47" i="75"/>
  <c r="Z43" i="75"/>
  <c r="W43" i="75"/>
  <c r="Z47" i="75"/>
  <c r="X47" i="75"/>
  <c r="Y43" i="75"/>
  <c r="X43" i="75"/>
  <c r="W47" i="75"/>
  <c r="V43" i="75"/>
  <c r="V47" i="75"/>
  <c r="Y55" i="75"/>
  <c r="Z51" i="75"/>
  <c r="V51" i="75"/>
  <c r="Y51" i="75"/>
  <c r="X51" i="75"/>
  <c r="W51" i="75"/>
  <c r="V55" i="75"/>
  <c r="X55" i="75"/>
  <c r="W55" i="75"/>
  <c r="Z55" i="75"/>
  <c r="Z59" i="75"/>
  <c r="Y59" i="75"/>
  <c r="X59" i="75"/>
  <c r="W59" i="75"/>
  <c r="V59" i="75"/>
  <c r="Y42" i="75"/>
  <c r="V42" i="75"/>
  <c r="X42" i="75"/>
  <c r="Z38" i="75"/>
  <c r="W38" i="75"/>
  <c r="Y38" i="75"/>
  <c r="V38" i="75"/>
  <c r="Z42" i="75"/>
  <c r="W42" i="75"/>
  <c r="Z69" i="75"/>
  <c r="Z76" i="75"/>
  <c r="Y44" i="75"/>
  <c r="V44" i="75"/>
  <c r="V58" i="75"/>
  <c r="X44" i="75"/>
  <c r="V80" i="75"/>
  <c r="W62" i="75"/>
  <c r="V63" i="75"/>
  <c r="V68" i="75"/>
  <c r="W76" i="75"/>
  <c r="Y50" i="75"/>
  <c r="Y57" i="75"/>
  <c r="W69" i="75"/>
  <c r="Z50" i="75"/>
  <c r="V81" i="75"/>
  <c r="Y64" i="75"/>
  <c r="Z73" i="75"/>
  <c r="X62" i="75"/>
  <c r="V60" i="75"/>
  <c r="V50" i="75"/>
  <c r="V84" i="75"/>
  <c r="V71" i="75"/>
  <c r="W75" i="75"/>
  <c r="V48" i="75"/>
  <c r="Z62" i="75"/>
  <c r="W71" i="75"/>
  <c r="X85" i="75"/>
  <c r="V83" i="75"/>
  <c r="X54" i="75"/>
  <c r="X72" i="75"/>
  <c r="Y79" i="75"/>
  <c r="Y93" i="75"/>
  <c r="W81" i="75"/>
  <c r="Z68" i="75"/>
  <c r="V69" i="75"/>
  <c r="Z83" i="75"/>
  <c r="X87" i="75"/>
  <c r="W46" i="75"/>
  <c r="W65" i="75"/>
  <c r="W91" i="75"/>
  <c r="Y58" i="75"/>
  <c r="Y85" i="75"/>
  <c r="W57" i="75"/>
  <c r="X67" i="75"/>
  <c r="X84" i="75"/>
  <c r="X46" i="75"/>
  <c r="Y69" i="75"/>
  <c r="X93" i="75"/>
  <c r="Z87" i="75"/>
  <c r="Z75" i="75"/>
  <c r="Z57" i="75"/>
  <c r="W73" i="75"/>
  <c r="V76" i="75"/>
  <c r="X40" i="75"/>
  <c r="X80" i="75"/>
  <c r="V40" i="75"/>
  <c r="X69" i="75"/>
  <c r="Z44" i="75"/>
  <c r="Y65" i="75"/>
  <c r="X52" i="75"/>
  <c r="W77" i="75"/>
  <c r="V36" i="75"/>
  <c r="V93" i="75"/>
  <c r="W79" i="75"/>
  <c r="V56" i="75"/>
  <c r="X68" i="75"/>
  <c r="W48" i="75"/>
  <c r="X79" i="75"/>
  <c r="W68" i="75"/>
  <c r="X38" i="75"/>
  <c r="X71" i="75"/>
  <c r="Z72" i="75"/>
  <c r="X77" i="75"/>
  <c r="Y54" i="75"/>
  <c r="W58" i="75"/>
  <c r="V72" i="75"/>
  <c r="Z56" i="75"/>
  <c r="Y80" i="75"/>
  <c r="V75" i="75"/>
  <c r="W64" i="75"/>
  <c r="Z79" i="75"/>
  <c r="X83" i="75"/>
  <c r="Y46" i="75"/>
  <c r="V73" i="75"/>
  <c r="V52" i="75"/>
  <c r="V14" i="75" s="1"/>
  <c r="X64" i="75"/>
  <c r="X36" i="75"/>
  <c r="Z52" i="75"/>
  <c r="Y89" i="75"/>
  <c r="Z71" i="75"/>
  <c r="Z93" i="75"/>
  <c r="Y83" i="75"/>
  <c r="Z58" i="75"/>
  <c r="W44" i="75"/>
  <c r="Z65" i="75"/>
  <c r="Y84" i="75"/>
  <c r="X57" i="75"/>
  <c r="Y71" i="75"/>
  <c r="Y36" i="75"/>
  <c r="Y62" i="75"/>
  <c r="Z89" i="75"/>
  <c r="W84" i="75"/>
  <c r="W61" i="75"/>
  <c r="W80" i="75"/>
  <c r="W52" i="75"/>
  <c r="X65" i="75"/>
  <c r="X76" i="75"/>
  <c r="Y77" i="75"/>
  <c r="V79" i="75"/>
  <c r="X89" i="75"/>
  <c r="V57" i="75"/>
  <c r="V64" i="75"/>
  <c r="Y75" i="75"/>
  <c r="X58" i="75"/>
  <c r="Y72" i="75"/>
  <c r="W36" i="75"/>
  <c r="W67" i="75"/>
  <c r="W85" i="75"/>
  <c r="W50" i="75"/>
  <c r="V62" i="75"/>
  <c r="W93" i="75"/>
  <c r="W72" i="75"/>
  <c r="V87" i="75"/>
  <c r="Z60" i="75"/>
  <c r="V85" i="75"/>
  <c r="X75" i="75"/>
  <c r="X60" i="75"/>
  <c r="W56" i="75"/>
  <c r="Z61" i="75"/>
  <c r="Z85" i="75"/>
  <c r="Z91" i="75"/>
  <c r="V61" i="75"/>
  <c r="Y63" i="75"/>
  <c r="Y52" i="75"/>
  <c r="W83" i="75"/>
  <c r="X63" i="75"/>
  <c r="X91" i="75"/>
  <c r="Z48" i="75"/>
  <c r="Z77" i="75"/>
  <c r="H39" i="75"/>
  <c r="G39" i="75"/>
  <c r="H35" i="75"/>
  <c r="F35" i="75"/>
  <c r="G35" i="75"/>
  <c r="F39" i="75"/>
  <c r="H43" i="75"/>
  <c r="G43" i="75"/>
  <c r="F47" i="75"/>
  <c r="F43" i="75"/>
  <c r="H47" i="75"/>
  <c r="G47" i="75"/>
  <c r="G51" i="75"/>
  <c r="H51" i="75"/>
  <c r="F51" i="75"/>
  <c r="F59" i="75"/>
  <c r="G55" i="75"/>
  <c r="H55" i="75"/>
  <c r="F55" i="75"/>
  <c r="H59" i="75"/>
  <c r="G59" i="75"/>
  <c r="H63" i="75"/>
  <c r="G63" i="75"/>
  <c r="F63" i="75"/>
  <c r="Z84" i="75"/>
  <c r="Z46" i="75"/>
  <c r="Z80" i="75"/>
  <c r="X61" i="75"/>
  <c r="Y81" i="75"/>
  <c r="Z40" i="75"/>
  <c r="X56" i="75"/>
  <c r="V91" i="75"/>
  <c r="Z63" i="75"/>
  <c r="Y48" i="75"/>
  <c r="W60" i="75"/>
  <c r="Y73" i="75"/>
  <c r="Y91" i="75"/>
  <c r="X81" i="75"/>
  <c r="W54" i="75"/>
  <c r="Y87" i="75"/>
  <c r="X50" i="75"/>
  <c r="Y56" i="75"/>
  <c r="Y61" i="75"/>
  <c r="Y67" i="75"/>
  <c r="X73" i="75"/>
  <c r="U58" i="75"/>
  <c r="R65" i="75"/>
  <c r="T61" i="75"/>
  <c r="R64" i="75"/>
  <c r="R61" i="75"/>
  <c r="S80" i="75"/>
  <c r="Q64" i="75"/>
  <c r="R67" i="75"/>
  <c r="T75" i="75"/>
  <c r="Q56" i="75"/>
  <c r="T81" i="75"/>
  <c r="U77" i="75"/>
  <c r="S84" i="75"/>
  <c r="R36" i="75"/>
  <c r="R54" i="75"/>
  <c r="T72" i="75"/>
  <c r="Q76" i="75"/>
  <c r="S91" i="75"/>
  <c r="T60" i="75"/>
  <c r="T84" i="75"/>
  <c r="R91" i="75"/>
  <c r="S40" i="75"/>
  <c r="S68" i="75"/>
  <c r="U61" i="75"/>
  <c r="Q54" i="75"/>
  <c r="S48" i="75"/>
  <c r="U91" i="75"/>
  <c r="U36" i="75"/>
  <c r="U46" i="75"/>
  <c r="U67" i="75"/>
  <c r="Q89" i="75"/>
  <c r="T40" i="75"/>
  <c r="R60" i="75"/>
  <c r="T85" i="75"/>
  <c r="Q69" i="75"/>
  <c r="R46" i="75"/>
  <c r="S62" i="75"/>
  <c r="R76" i="75"/>
  <c r="Q91" i="75"/>
  <c r="U84" i="75"/>
  <c r="U72" i="75"/>
  <c r="S56" i="75"/>
  <c r="R69" i="75"/>
  <c r="T54" i="75"/>
  <c r="AK85" i="75"/>
  <c r="AK87" i="75"/>
  <c r="AK75" i="75"/>
  <c r="AK76" i="75"/>
  <c r="AK54" i="75"/>
  <c r="AK79" i="75"/>
  <c r="AK56" i="75"/>
  <c r="AK65" i="75"/>
  <c r="AK80" i="75"/>
  <c r="AH69" i="75"/>
  <c r="AI89" i="75"/>
  <c r="AI79" i="75"/>
  <c r="AF87" i="75"/>
  <c r="AI65" i="75"/>
  <c r="AH63" i="75"/>
  <c r="AH72" i="75"/>
  <c r="AI60" i="75"/>
  <c r="AG36" i="75"/>
  <c r="AG10" i="75" s="1"/>
  <c r="AJ73" i="75"/>
  <c r="AG65" i="75"/>
  <c r="AF63" i="75"/>
  <c r="AI57" i="75"/>
  <c r="AH87" i="75"/>
  <c r="AI80" i="75"/>
  <c r="AG48" i="75"/>
  <c r="AF62" i="75"/>
  <c r="AJ81" i="75"/>
  <c r="AF67" i="75"/>
  <c r="AJ80" i="75"/>
  <c r="AI67" i="75"/>
  <c r="AF91" i="75"/>
  <c r="AF73" i="75"/>
  <c r="AF50" i="75"/>
  <c r="AI76" i="75"/>
  <c r="AG71" i="75"/>
  <c r="AH83" i="75"/>
  <c r="AH68" i="75"/>
  <c r="AJ91" i="75"/>
  <c r="AJ60" i="75"/>
  <c r="AJ77" i="75"/>
  <c r="AF71" i="75"/>
  <c r="AI84" i="75"/>
  <c r="AG63" i="75"/>
  <c r="AG72" i="75"/>
  <c r="AG73" i="75"/>
  <c r="AF52" i="75"/>
  <c r="AJ89" i="75"/>
  <c r="AF75" i="75"/>
  <c r="AH85" i="75"/>
  <c r="AH54" i="75"/>
  <c r="AI58" i="75"/>
  <c r="AI48" i="75"/>
  <c r="AI54" i="75"/>
  <c r="AJ58" i="75"/>
  <c r="AI40" i="75"/>
  <c r="AF64" i="75"/>
  <c r="AF81" i="75"/>
  <c r="AI83" i="75"/>
  <c r="AH81" i="75"/>
  <c r="AI85" i="75"/>
  <c r="AH75" i="75"/>
  <c r="AH76" i="75"/>
  <c r="AI61" i="75"/>
  <c r="AI81" i="75"/>
  <c r="AH36" i="75"/>
  <c r="AG69" i="75"/>
  <c r="AF83" i="75"/>
  <c r="AG40" i="75"/>
  <c r="AG77" i="75"/>
  <c r="AF72" i="75"/>
  <c r="AJ69" i="75"/>
  <c r="AG56" i="75"/>
  <c r="AG57" i="75"/>
  <c r="AJ48" i="75"/>
  <c r="AF93" i="75"/>
  <c r="AI52" i="75"/>
  <c r="AI69" i="75"/>
  <c r="AJ65" i="75"/>
  <c r="AG46" i="75"/>
  <c r="AF44" i="75"/>
  <c r="AG91" i="75"/>
  <c r="AG76" i="75"/>
  <c r="AG85" i="75"/>
  <c r="AH73" i="75"/>
  <c r="AG52" i="75"/>
  <c r="AG61" i="75"/>
  <c r="AI44" i="75"/>
  <c r="AJ75" i="75"/>
  <c r="AF46" i="75"/>
  <c r="N102" i="75"/>
  <c r="AG102" i="75"/>
  <c r="S104" i="75"/>
  <c r="S12" i="75"/>
  <c r="CS71" i="6"/>
  <c r="AJ92" i="75"/>
  <c r="AI53" i="75"/>
  <c r="AF90" i="75"/>
  <c r="AI98" i="75"/>
  <c r="AI66" i="75"/>
  <c r="AG45" i="75"/>
  <c r="AH41" i="75"/>
  <c r="AG66" i="75"/>
  <c r="AJ70" i="75"/>
  <c r="AH88" i="75"/>
  <c r="AA53" i="75"/>
  <c r="AB66" i="75"/>
  <c r="AB53" i="75"/>
  <c r="AD94" i="75"/>
  <c r="AA82" i="75"/>
  <c r="AD86" i="75"/>
  <c r="AE66" i="75"/>
  <c r="AC49" i="75"/>
  <c r="AB45" i="75"/>
  <c r="AC66" i="75"/>
  <c r="AB94" i="75"/>
  <c r="AC53" i="75"/>
  <c r="AE88" i="75"/>
  <c r="AA96" i="75"/>
  <c r="AD45" i="75"/>
  <c r="AA45" i="75"/>
  <c r="AE70" i="75"/>
  <c r="AD98" i="75"/>
  <c r="AD90" i="75"/>
  <c r="AE49" i="75"/>
  <c r="AE37" i="75"/>
  <c r="AA78" i="75"/>
  <c r="AK33" i="75"/>
  <c r="AK66" i="75"/>
  <c r="AK88" i="75"/>
  <c r="AK82" i="75"/>
  <c r="AK45" i="75"/>
  <c r="AK37" i="75"/>
  <c r="AK96" i="75"/>
  <c r="AK92" i="75"/>
  <c r="AK78" i="75"/>
  <c r="W37" i="75"/>
  <c r="V41" i="75"/>
  <c r="X98" i="75"/>
  <c r="X86" i="75"/>
  <c r="W88" i="75"/>
  <c r="V82" i="75"/>
  <c r="X70" i="75"/>
  <c r="W45" i="75"/>
  <c r="X37" i="75"/>
  <c r="Z37" i="75"/>
  <c r="Z33" i="75"/>
  <c r="X53" i="75"/>
  <c r="Y49" i="75"/>
  <c r="Z78" i="75"/>
  <c r="Y33" i="75"/>
  <c r="V90" i="75"/>
  <c r="Y53" i="75"/>
  <c r="Z86" i="75"/>
  <c r="Y41" i="75"/>
  <c r="Y94" i="75"/>
  <c r="W70" i="75"/>
  <c r="X88" i="75"/>
  <c r="Y88" i="75"/>
  <c r="Z74" i="75"/>
  <c r="V86" i="75"/>
  <c r="V37" i="75"/>
  <c r="Z90" i="75"/>
  <c r="X45" i="75"/>
  <c r="Y37" i="75"/>
  <c r="W49" i="75"/>
  <c r="Y74" i="75"/>
  <c r="V49" i="75"/>
  <c r="Z96" i="75"/>
  <c r="V70" i="75"/>
  <c r="X33" i="75"/>
  <c r="W53" i="75"/>
  <c r="Z88" i="75"/>
  <c r="W33" i="75"/>
  <c r="Z94" i="75"/>
  <c r="W82" i="75"/>
  <c r="Z49" i="75"/>
  <c r="W92" i="75"/>
  <c r="Y96" i="75"/>
  <c r="Y86" i="75"/>
  <c r="V88" i="75"/>
  <c r="AG53" i="75"/>
  <c r="AJ41" i="75"/>
  <c r="AH90" i="75"/>
  <c r="AF82" i="75"/>
  <c r="AG92" i="75"/>
  <c r="AF74" i="75"/>
  <c r="AH96" i="75"/>
  <c r="AG49" i="75"/>
  <c r="AG94" i="75"/>
  <c r="AG82" i="75"/>
  <c r="AD78" i="75"/>
  <c r="AB33" i="75"/>
  <c r="AE78" i="75"/>
  <c r="AE74" i="75"/>
  <c r="AA98" i="75"/>
  <c r="AD49" i="75"/>
  <c r="AC92" i="75"/>
  <c r="AB49" i="75"/>
  <c r="AA74" i="75"/>
  <c r="AC88" i="75"/>
  <c r="AC78" i="75"/>
  <c r="AC41" i="75"/>
  <c r="AD41" i="75"/>
  <c r="AC70" i="75"/>
  <c r="AE94" i="75"/>
  <c r="AA88" i="75"/>
  <c r="AC96" i="75"/>
  <c r="AE41" i="75"/>
  <c r="AA94" i="75"/>
  <c r="AA41" i="75"/>
  <c r="AE82" i="75"/>
  <c r="AD53" i="75"/>
  <c r="S92" i="75"/>
  <c r="U94" i="75"/>
  <c r="S90" i="75"/>
  <c r="S86" i="75"/>
  <c r="S98" i="75"/>
  <c r="R37" i="75"/>
  <c r="S49" i="75"/>
  <c r="R33" i="75"/>
  <c r="T66" i="75"/>
  <c r="Q94" i="75"/>
  <c r="U53" i="75"/>
  <c r="Q66" i="75"/>
  <c r="Q90" i="75"/>
  <c r="R96" i="75"/>
  <c r="T41" i="75"/>
  <c r="T92" i="75"/>
  <c r="U70" i="75"/>
  <c r="R94" i="75"/>
  <c r="T88" i="75"/>
  <c r="T86" i="75"/>
  <c r="Q96" i="75"/>
  <c r="S37" i="75"/>
  <c r="U33" i="75"/>
  <c r="Q37" i="75"/>
  <c r="R82" i="75"/>
  <c r="R90" i="75"/>
  <c r="R70" i="75"/>
  <c r="Q74" i="75"/>
  <c r="Q41" i="75"/>
  <c r="U41" i="75"/>
  <c r="R92" i="75"/>
  <c r="R88" i="75"/>
  <c r="T74" i="75"/>
  <c r="S74" i="75"/>
  <c r="U49" i="75"/>
  <c r="Q88" i="75"/>
  <c r="U98" i="75"/>
  <c r="Q98" i="75"/>
  <c r="S96" i="75"/>
  <c r="S53" i="75"/>
  <c r="Q53" i="75"/>
  <c r="S78" i="75"/>
  <c r="U78" i="75"/>
  <c r="R53" i="75"/>
  <c r="U88" i="75"/>
  <c r="AI49" i="75"/>
  <c r="AI41" i="75"/>
  <c r="AF49" i="75"/>
  <c r="AH78" i="75"/>
  <c r="AH53" i="75"/>
  <c r="AI90" i="75"/>
  <c r="AF45" i="75"/>
  <c r="AJ88" i="75"/>
  <c r="AG98" i="75"/>
  <c r="AF98" i="75"/>
  <c r="AI37" i="75"/>
  <c r="AG90" i="75"/>
  <c r="AH82" i="75"/>
  <c r="AF37" i="75"/>
  <c r="AJ45" i="75"/>
  <c r="AF53" i="75"/>
  <c r="AF41" i="75"/>
  <c r="AI45" i="75"/>
  <c r="AG86" i="75"/>
  <c r="AJ96" i="75"/>
  <c r="AJ53" i="75"/>
  <c r="AG96" i="75"/>
  <c r="AF33" i="75"/>
  <c r="AH66" i="75"/>
  <c r="AJ82" i="75"/>
  <c r="AH33" i="75"/>
  <c r="O92" i="75"/>
  <c r="M98" i="75"/>
  <c r="O88" i="75"/>
  <c r="M37" i="75"/>
  <c r="N82" i="75"/>
  <c r="L96" i="75"/>
  <c r="P90" i="75"/>
  <c r="P86" i="75"/>
  <c r="P33" i="75"/>
  <c r="M49" i="75"/>
  <c r="O96" i="75"/>
  <c r="N98" i="75"/>
  <c r="O33" i="75"/>
  <c r="M70" i="75"/>
  <c r="N90" i="75"/>
  <c r="O86" i="75"/>
  <c r="P82" i="75"/>
  <c r="L82" i="75"/>
  <c r="L74" i="75"/>
  <c r="O74" i="75"/>
  <c r="P49" i="75"/>
  <c r="O45" i="75"/>
  <c r="M45" i="75"/>
  <c r="N53" i="75"/>
  <c r="L86" i="75"/>
  <c r="O66" i="75"/>
  <c r="P70" i="75"/>
  <c r="M41" i="75"/>
  <c r="P94" i="75"/>
  <c r="M78" i="75"/>
  <c r="M74" i="75"/>
  <c r="M88" i="75"/>
  <c r="P74" i="75"/>
  <c r="L90" i="75"/>
  <c r="N88" i="75"/>
  <c r="L88" i="75"/>
  <c r="P41" i="75"/>
  <c r="P53" i="75"/>
  <c r="N45" i="75"/>
  <c r="M86" i="75"/>
  <c r="L78" i="75"/>
  <c r="O98" i="75"/>
  <c r="P66" i="75"/>
  <c r="M53" i="75"/>
  <c r="P96" i="75"/>
  <c r="E72" i="6"/>
  <c r="B72" i="6" s="1"/>
  <c r="C72" i="6" s="1"/>
  <c r="AJ78" i="75"/>
  <c r="AJ74" i="75"/>
  <c r="AF86" i="75"/>
  <c r="AJ98" i="75"/>
  <c r="AF78" i="75"/>
  <c r="AH37" i="75"/>
  <c r="AH86" i="75"/>
  <c r="AH49" i="75"/>
  <c r="AJ66" i="75"/>
  <c r="AE92" i="75"/>
  <c r="AA90" i="75"/>
  <c r="AA33" i="75"/>
  <c r="AC37" i="75"/>
  <c r="AE45" i="75"/>
  <c r="AB78" i="75"/>
  <c r="AC86" i="75"/>
  <c r="AD33" i="75"/>
  <c r="AC74" i="75"/>
  <c r="AE53" i="75"/>
  <c r="AE90" i="75"/>
  <c r="AD92" i="75"/>
  <c r="AA66" i="75"/>
  <c r="AB70" i="75"/>
  <c r="AA92" i="75"/>
  <c r="AC82" i="75"/>
  <c r="AB98" i="75"/>
  <c r="AC45" i="75"/>
  <c r="AB90" i="75"/>
  <c r="AD70" i="75"/>
  <c r="AD88" i="75"/>
  <c r="AB92" i="75"/>
  <c r="AK74" i="75"/>
  <c r="AK86" i="75"/>
  <c r="AK53" i="75"/>
  <c r="AK94" i="75"/>
  <c r="AK41" i="75"/>
  <c r="AK90" i="75"/>
  <c r="AK70" i="75"/>
  <c r="AK49" i="75"/>
  <c r="X96" i="75"/>
  <c r="W86" i="75"/>
  <c r="Y90" i="75"/>
  <c r="V66" i="75"/>
  <c r="Z45" i="75"/>
  <c r="Z98" i="75"/>
  <c r="X66" i="75"/>
  <c r="Y92" i="75"/>
  <c r="X41" i="75"/>
  <c r="Y78" i="75"/>
  <c r="W98" i="75"/>
  <c r="V33" i="75"/>
  <c r="W90" i="75"/>
  <c r="W96" i="75"/>
  <c r="Y70" i="75"/>
  <c r="Y82" i="75"/>
  <c r="W78" i="75"/>
  <c r="V94" i="75"/>
  <c r="X92" i="75"/>
  <c r="Z53" i="75"/>
  <c r="Z70" i="75"/>
  <c r="W66" i="75"/>
  <c r="Y45" i="75"/>
  <c r="W94" i="75"/>
  <c r="X74" i="75"/>
  <c r="W74" i="75"/>
  <c r="X78" i="75"/>
  <c r="V45" i="75"/>
  <c r="V92" i="75"/>
  <c r="V96" i="75"/>
  <c r="V74" i="75"/>
  <c r="X82" i="75"/>
  <c r="Y66" i="75"/>
  <c r="Y98" i="75"/>
  <c r="V98" i="75"/>
  <c r="Z41" i="75"/>
  <c r="X49" i="75"/>
  <c r="V78" i="75"/>
  <c r="X90" i="75"/>
  <c r="X94" i="75"/>
  <c r="Z66" i="75"/>
  <c r="Z92" i="75"/>
  <c r="W41" i="75"/>
  <c r="Z82" i="75"/>
  <c r="AH94" i="75"/>
  <c r="AH45" i="75"/>
  <c r="AG33" i="75"/>
  <c r="AH70" i="75"/>
  <c r="AJ37" i="75"/>
  <c r="AI86" i="75"/>
  <c r="AF94" i="75"/>
  <c r="AG88" i="75"/>
  <c r="AG41" i="75"/>
  <c r="AH92" i="75"/>
  <c r="AC94" i="75"/>
  <c r="AC90" i="75"/>
  <c r="AA86" i="75"/>
  <c r="AD96" i="75"/>
  <c r="AB37" i="75"/>
  <c r="AD74" i="75"/>
  <c r="AC98" i="75"/>
  <c r="AD82" i="75"/>
  <c r="AB88" i="75"/>
  <c r="AA70" i="75"/>
  <c r="AD37" i="75"/>
  <c r="AA37" i="75"/>
  <c r="AE33" i="75"/>
  <c r="AE96" i="75"/>
  <c r="AB82" i="75"/>
  <c r="AB74" i="75"/>
  <c r="AB86" i="75"/>
  <c r="AB41" i="75"/>
  <c r="AC33" i="75"/>
  <c r="AB96" i="75"/>
  <c r="AE86" i="75"/>
  <c r="AD66" i="75"/>
  <c r="AA49" i="75"/>
  <c r="T49" i="75"/>
  <c r="U86" i="75"/>
  <c r="Q82" i="75"/>
  <c r="U74" i="75"/>
  <c r="S33" i="75"/>
  <c r="R78" i="75"/>
  <c r="T37" i="75"/>
  <c r="Q45" i="75"/>
  <c r="T96" i="75"/>
  <c r="S66" i="75"/>
  <c r="Q33" i="75"/>
  <c r="U90" i="75"/>
  <c r="T45" i="75"/>
  <c r="R41" i="75"/>
  <c r="U82" i="75"/>
  <c r="T90" i="75"/>
  <c r="S94" i="75"/>
  <c r="U92" i="75"/>
  <c r="U37" i="75"/>
  <c r="S41" i="75"/>
  <c r="T78" i="75"/>
  <c r="R86" i="75"/>
  <c r="U66" i="75"/>
  <c r="Q49" i="75"/>
  <c r="T98" i="75"/>
  <c r="T94" i="75"/>
  <c r="R49" i="75"/>
  <c r="Q70" i="75"/>
  <c r="R66" i="75"/>
  <c r="Q86" i="75"/>
  <c r="S88" i="75"/>
  <c r="Q92" i="75"/>
  <c r="R45" i="75"/>
  <c r="R74" i="75"/>
  <c r="R98" i="75"/>
  <c r="T70" i="75"/>
  <c r="U45" i="75"/>
  <c r="S82" i="75"/>
  <c r="T53" i="75"/>
  <c r="U96" i="75"/>
  <c r="T33" i="75"/>
  <c r="T82" i="75"/>
  <c r="S70" i="75"/>
  <c r="Q78" i="75"/>
  <c r="AF96" i="75"/>
  <c r="AI78" i="75"/>
  <c r="AI70" i="75"/>
  <c r="AJ33" i="75"/>
  <c r="AJ49" i="75"/>
  <c r="AJ86" i="75"/>
  <c r="AJ90" i="75"/>
  <c r="AI88" i="75"/>
  <c r="AI74" i="75"/>
  <c r="AF92" i="75"/>
  <c r="AI92" i="75"/>
  <c r="AF88" i="75"/>
  <c r="AF70" i="75"/>
  <c r="AG78" i="75"/>
  <c r="AI96" i="75"/>
  <c r="AG74" i="75"/>
  <c r="AI94" i="75"/>
  <c r="AH98" i="75"/>
  <c r="AH74" i="75"/>
  <c r="AJ94" i="75"/>
  <c r="AI33" i="75"/>
  <c r="AG70" i="75"/>
  <c r="AI82" i="75"/>
  <c r="AF66" i="75"/>
  <c r="P88" i="75"/>
  <c r="O82" i="75"/>
  <c r="N86" i="75"/>
  <c r="M92" i="75"/>
  <c r="N96" i="75"/>
  <c r="L70" i="75"/>
  <c r="N74" i="75"/>
  <c r="O41" i="75"/>
  <c r="N66" i="75"/>
  <c r="L66" i="75"/>
  <c r="N49" i="75"/>
  <c r="P45" i="75"/>
  <c r="M66" i="75"/>
  <c r="L45" i="75"/>
  <c r="O94" i="75"/>
  <c r="L94" i="75"/>
  <c r="P37" i="75"/>
  <c r="L53" i="75"/>
  <c r="L37" i="75"/>
  <c r="O53" i="75"/>
  <c r="N92" i="75"/>
  <c r="P78" i="75"/>
  <c r="M96" i="75"/>
  <c r="N33" i="75"/>
  <c r="O49" i="75"/>
  <c r="L98" i="75"/>
  <c r="N41" i="75"/>
  <c r="M90" i="75"/>
  <c r="N70" i="75"/>
  <c r="L33" i="75"/>
  <c r="N94" i="75"/>
  <c r="L92" i="75"/>
  <c r="M82" i="75"/>
  <c r="N78" i="75"/>
  <c r="M33" i="75"/>
  <c r="L41" i="75"/>
  <c r="P98" i="75"/>
  <c r="O37" i="75"/>
  <c r="M94" i="75"/>
  <c r="O90" i="75"/>
  <c r="O78" i="75"/>
  <c r="O70" i="75"/>
  <c r="L49" i="75"/>
  <c r="P92" i="75"/>
  <c r="Q97" i="6"/>
  <c r="Q96" i="6"/>
  <c r="Q98" i="6"/>
  <c r="S31" i="75"/>
  <c r="Q31" i="75"/>
  <c r="U31" i="75"/>
  <c r="R31" i="75"/>
  <c r="T31" i="75"/>
  <c r="U34" i="75"/>
  <c r="Q32" i="75"/>
  <c r="T97" i="75"/>
  <c r="T32" i="75"/>
  <c r="S34" i="75"/>
  <c r="R95" i="75"/>
  <c r="U97" i="75"/>
  <c r="U95" i="75"/>
  <c r="Q97" i="75"/>
  <c r="S95" i="75"/>
  <c r="T95" i="75"/>
  <c r="S32" i="75"/>
  <c r="T34" i="75"/>
  <c r="S97" i="75"/>
  <c r="U32" i="75"/>
  <c r="R34" i="75"/>
  <c r="R97" i="75"/>
  <c r="Q34" i="75"/>
  <c r="Q95" i="75"/>
  <c r="R32" i="75"/>
  <c r="AK55" i="75"/>
  <c r="AK31" i="75"/>
  <c r="AK95" i="75"/>
  <c r="AK32" i="75"/>
  <c r="AK34" i="75"/>
  <c r="AK97" i="75"/>
  <c r="Y31" i="75"/>
  <c r="V31" i="75"/>
  <c r="Z31" i="75"/>
  <c r="X31" i="75"/>
  <c r="W31" i="75"/>
  <c r="Z34" i="75"/>
  <c r="Y32" i="75"/>
  <c r="X32" i="75"/>
  <c r="Y34" i="75"/>
  <c r="V34" i="75"/>
  <c r="Y97" i="75"/>
  <c r="X34" i="75"/>
  <c r="W95" i="75"/>
  <c r="Z97" i="75"/>
  <c r="W34" i="75"/>
  <c r="Z95" i="75"/>
  <c r="V32" i="75"/>
  <c r="V95" i="75"/>
  <c r="W32" i="75"/>
  <c r="V97" i="75"/>
  <c r="W97" i="75"/>
  <c r="X95" i="75"/>
  <c r="Z32" i="75"/>
  <c r="Y95" i="75"/>
  <c r="X97" i="75"/>
  <c r="F37" i="75"/>
  <c r="F70" i="75"/>
  <c r="H86" i="75"/>
  <c r="F44" i="75"/>
  <c r="G68" i="75"/>
  <c r="G86" i="75"/>
  <c r="G38" i="75"/>
  <c r="F80" i="75"/>
  <c r="G37" i="75"/>
  <c r="H61" i="75"/>
  <c r="G74" i="75"/>
  <c r="H88" i="75"/>
  <c r="F46" i="75"/>
  <c r="F68" i="75"/>
  <c r="G92" i="75"/>
  <c r="H49" i="75"/>
  <c r="F73" i="75"/>
  <c r="G87" i="75"/>
  <c r="H44" i="75"/>
  <c r="H66" i="75"/>
  <c r="F91" i="75"/>
  <c r="G48" i="75"/>
  <c r="G66" i="75"/>
  <c r="H96" i="75"/>
  <c r="F54" i="75"/>
  <c r="H70" i="75"/>
  <c r="F95" i="75"/>
  <c r="G52" i="75"/>
  <c r="G70" i="75"/>
  <c r="F90" i="75"/>
  <c r="F42" i="75"/>
  <c r="F64" i="75"/>
  <c r="G88" i="75"/>
  <c r="H45" i="75"/>
  <c r="F69" i="75"/>
  <c r="G83" i="75"/>
  <c r="H94" i="75"/>
  <c r="F52" i="75"/>
  <c r="G76" i="75"/>
  <c r="G78" i="75"/>
  <c r="F33" i="75"/>
  <c r="H60" i="75"/>
  <c r="H82" i="75"/>
  <c r="F40" i="75"/>
  <c r="G64" i="75"/>
  <c r="G82" i="75"/>
  <c r="H80" i="75"/>
  <c r="F76" i="75"/>
  <c r="G33" i="75"/>
  <c r="H57" i="75"/>
  <c r="H75" i="75"/>
  <c r="G95" i="75"/>
  <c r="H52" i="75"/>
  <c r="G69" i="75"/>
  <c r="H93" i="75"/>
  <c r="G40" i="75"/>
  <c r="F78" i="75"/>
  <c r="H32" i="75"/>
  <c r="G57" i="75"/>
  <c r="H81" i="75"/>
  <c r="G36" i="75"/>
  <c r="G62" i="75"/>
  <c r="H76" i="75"/>
  <c r="G77" i="75"/>
  <c r="H34" i="75"/>
  <c r="G98" i="75"/>
  <c r="H31" i="75"/>
  <c r="H64" i="75"/>
  <c r="G81" i="75"/>
  <c r="H38" i="75"/>
  <c r="F81" i="75"/>
  <c r="G79" i="75"/>
  <c r="F96" i="75"/>
  <c r="G53" i="75"/>
  <c r="H77" i="75"/>
  <c r="G32" i="75"/>
  <c r="G58" i="75"/>
  <c r="H72" i="75"/>
  <c r="F84" i="75"/>
  <c r="G41" i="75"/>
  <c r="H65" i="75"/>
  <c r="F89" i="75"/>
  <c r="G46" i="75"/>
  <c r="G71" i="75"/>
  <c r="G93" i="75"/>
  <c r="H50" i="75"/>
  <c r="F75" i="75"/>
  <c r="F93" i="75"/>
  <c r="G50" i="75"/>
  <c r="G91" i="75"/>
  <c r="H48" i="75"/>
  <c r="G65" i="75"/>
  <c r="H89" i="75"/>
  <c r="H41" i="75"/>
  <c r="F65" i="75"/>
  <c r="H84" i="75"/>
  <c r="F34" i="75"/>
  <c r="H58" i="75"/>
  <c r="F83" i="75"/>
  <c r="H95" i="75"/>
  <c r="F53" i="75"/>
  <c r="G67" i="75"/>
  <c r="G89" i="75"/>
  <c r="H46" i="75"/>
  <c r="F71" i="75"/>
  <c r="G94" i="75"/>
  <c r="F41" i="75"/>
  <c r="F66" i="75"/>
  <c r="F88" i="75"/>
  <c r="G45" i="75"/>
  <c r="H69" i="75"/>
  <c r="H87" i="75"/>
  <c r="F45" i="75"/>
  <c r="G75" i="75"/>
  <c r="F92" i="75"/>
  <c r="G49" i="75"/>
  <c r="H73" i="75"/>
  <c r="H91" i="75"/>
  <c r="F49" i="75"/>
  <c r="H68" i="75"/>
  <c r="G85" i="75"/>
  <c r="H42" i="75"/>
  <c r="F67" i="75"/>
  <c r="G90" i="75"/>
  <c r="G42" i="75"/>
  <c r="F62" i="75"/>
  <c r="G73" i="75"/>
  <c r="H97" i="75"/>
  <c r="F31" i="75"/>
  <c r="F57" i="75"/>
  <c r="F82" i="75"/>
  <c r="H36" i="75"/>
  <c r="G61" i="75"/>
  <c r="H85" i="75"/>
  <c r="H37" i="75"/>
  <c r="F61" i="75"/>
  <c r="G97" i="75"/>
  <c r="H54" i="75"/>
  <c r="F79" i="75"/>
  <c r="F97" i="75"/>
  <c r="G54" i="75"/>
  <c r="F74" i="75"/>
  <c r="H90" i="75"/>
  <c r="F48" i="75"/>
  <c r="G72" i="75"/>
  <c r="F85" i="75"/>
  <c r="G34" i="75"/>
  <c r="H56" i="75"/>
  <c r="H78" i="75"/>
  <c r="F36" i="75"/>
  <c r="G60" i="75"/>
  <c r="H83" i="75"/>
  <c r="F98" i="75"/>
  <c r="G31" i="75"/>
  <c r="F56" i="75"/>
  <c r="G80" i="75"/>
  <c r="F77" i="75"/>
  <c r="F86" i="75"/>
  <c r="F38" i="75"/>
  <c r="F60" i="75"/>
  <c r="G84" i="75"/>
  <c r="H33" i="75"/>
  <c r="F58" i="75"/>
  <c r="H74" i="75"/>
  <c r="F32" i="75"/>
  <c r="G56" i="75"/>
  <c r="H79" i="75"/>
  <c r="F94" i="75"/>
  <c r="H40" i="75"/>
  <c r="H62" i="75"/>
  <c r="F87" i="75"/>
  <c r="G44" i="75"/>
  <c r="H67" i="75"/>
  <c r="H92" i="75"/>
  <c r="F50" i="75"/>
  <c r="F72" i="75"/>
  <c r="G96" i="75"/>
  <c r="H53" i="75"/>
  <c r="H71" i="75"/>
  <c r="H98" i="75"/>
  <c r="AE31" i="75"/>
  <c r="AB31" i="75"/>
  <c r="AD31" i="75"/>
  <c r="AC31" i="75"/>
  <c r="AA31" i="75"/>
  <c r="AB97" i="75"/>
  <c r="AD97" i="75"/>
  <c r="AC95" i="75"/>
  <c r="AA32" i="75"/>
  <c r="AE97" i="75"/>
  <c r="AC32" i="75"/>
  <c r="AD95" i="75"/>
  <c r="AE34" i="75"/>
  <c r="AE95" i="75"/>
  <c r="AA95" i="75"/>
  <c r="AB32" i="75"/>
  <c r="AC34" i="75"/>
  <c r="AD34" i="75"/>
  <c r="AB95" i="75"/>
  <c r="AC97" i="75"/>
  <c r="AB34" i="75"/>
  <c r="AA97" i="75"/>
  <c r="AA34" i="75"/>
  <c r="AE32" i="75"/>
  <c r="AD32" i="75"/>
  <c r="L31" i="75"/>
  <c r="O31" i="75"/>
  <c r="P31" i="75"/>
  <c r="N31" i="75"/>
  <c r="M31" i="75"/>
  <c r="L95" i="75"/>
  <c r="P97" i="75"/>
  <c r="O34" i="75"/>
  <c r="N34" i="75"/>
  <c r="M95" i="75"/>
  <c r="N97" i="75"/>
  <c r="M97" i="75"/>
  <c r="P32" i="75"/>
  <c r="P34" i="75"/>
  <c r="N32" i="75"/>
  <c r="O97" i="75"/>
  <c r="L32" i="75"/>
  <c r="N95" i="75"/>
  <c r="L34" i="75"/>
  <c r="L97" i="75"/>
  <c r="O95" i="75"/>
  <c r="M32" i="75"/>
  <c r="P95" i="75"/>
  <c r="O32" i="75"/>
  <c r="M34" i="75"/>
  <c r="AF31" i="75"/>
  <c r="AG31" i="75"/>
  <c r="AI31" i="75"/>
  <c r="AJ31" i="75"/>
  <c r="AH31" i="75"/>
  <c r="AH34" i="75"/>
  <c r="AI95" i="75"/>
  <c r="AI97" i="75"/>
  <c r="AF34" i="75"/>
  <c r="AG97" i="75"/>
  <c r="AF32" i="75"/>
  <c r="AJ97" i="75"/>
  <c r="AJ95" i="75"/>
  <c r="AG34" i="75"/>
  <c r="AF95" i="75"/>
  <c r="AJ32" i="75"/>
  <c r="AH97" i="75"/>
  <c r="AG95" i="75"/>
  <c r="AH95" i="75"/>
  <c r="AI34" i="75"/>
  <c r="AI32" i="75"/>
  <c r="AF97" i="75"/>
  <c r="AH32" i="75"/>
  <c r="AG32" i="75"/>
  <c r="AJ34" i="75"/>
  <c r="E31" i="75"/>
  <c r="D96" i="75"/>
  <c r="C56" i="75"/>
  <c r="C54" i="75"/>
  <c r="C92" i="75"/>
  <c r="E75" i="75"/>
  <c r="E41" i="75"/>
  <c r="D84" i="75"/>
  <c r="D57" i="75"/>
  <c r="C50" i="75"/>
  <c r="C88" i="75"/>
  <c r="D66" i="75"/>
  <c r="C98" i="75"/>
  <c r="D80" i="75"/>
  <c r="C40" i="75"/>
  <c r="E84" i="75"/>
  <c r="E80" i="75"/>
  <c r="D91" i="75"/>
  <c r="C79" i="75"/>
  <c r="C52" i="75"/>
  <c r="E44" i="75"/>
  <c r="E82" i="75"/>
  <c r="C61" i="75"/>
  <c r="E92" i="75"/>
  <c r="C75" i="75"/>
  <c r="E66" i="75"/>
  <c r="E64" i="75"/>
  <c r="D38" i="75"/>
  <c r="D86" i="75"/>
  <c r="D52" i="75"/>
  <c r="C95" i="75"/>
  <c r="C68" i="75"/>
  <c r="E60" i="75"/>
  <c r="E98" i="75"/>
  <c r="C77" i="75"/>
  <c r="D48" i="75"/>
  <c r="C91" i="75"/>
  <c r="E50" i="75"/>
  <c r="E48" i="75"/>
  <c r="E86" i="75"/>
  <c r="D70" i="75"/>
  <c r="E33" i="75"/>
  <c r="E89" i="75"/>
  <c r="E62" i="75"/>
  <c r="D93" i="75"/>
  <c r="E71" i="75"/>
  <c r="E37" i="75"/>
  <c r="E85" i="75"/>
  <c r="E34" i="75"/>
  <c r="D77" i="75"/>
  <c r="D75" i="75"/>
  <c r="D54" i="75"/>
  <c r="C97" i="75"/>
  <c r="C63" i="75"/>
  <c r="C36" i="75"/>
  <c r="E78" i="75"/>
  <c r="D71" i="75"/>
  <c r="C45" i="75"/>
  <c r="E87" i="75"/>
  <c r="D61" i="75"/>
  <c r="D97" i="75"/>
  <c r="C81" i="75"/>
  <c r="E57" i="75"/>
  <c r="D73" i="75"/>
  <c r="C66" i="75"/>
  <c r="C37" i="75"/>
  <c r="D82" i="75"/>
  <c r="E53" i="75"/>
  <c r="D45" i="75"/>
  <c r="C38" i="75"/>
  <c r="D81" i="75"/>
  <c r="C65" i="75"/>
  <c r="E96" i="75"/>
  <c r="E73" i="75"/>
  <c r="E46" i="75"/>
  <c r="E36" i="75"/>
  <c r="D83" i="75"/>
  <c r="D98" i="75"/>
  <c r="E69" i="75"/>
  <c r="C72" i="75"/>
  <c r="C70" i="75"/>
  <c r="C49" i="75"/>
  <c r="E91" i="75"/>
  <c r="D68" i="75"/>
  <c r="D41" i="75"/>
  <c r="D87" i="75"/>
  <c r="E76" i="75"/>
  <c r="D50" i="75"/>
  <c r="C93" i="75"/>
  <c r="D64" i="75"/>
  <c r="E74" i="75"/>
  <c r="C41" i="75"/>
  <c r="D94" i="75"/>
  <c r="D60" i="75"/>
  <c r="D33" i="75"/>
  <c r="C76" i="75"/>
  <c r="D79" i="75"/>
  <c r="C53" i="75"/>
  <c r="E95" i="75"/>
  <c r="D72" i="75"/>
  <c r="C48" i="75"/>
  <c r="E40" i="75"/>
  <c r="D89" i="75"/>
  <c r="D31" i="75"/>
  <c r="E97" i="75"/>
  <c r="E70" i="75"/>
  <c r="D34" i="75"/>
  <c r="D90" i="75"/>
  <c r="D56" i="75"/>
  <c r="C32" i="75"/>
  <c r="C64" i="75"/>
  <c r="E56" i="75"/>
  <c r="E94" i="75"/>
  <c r="E83" i="75"/>
  <c r="E49" i="75"/>
  <c r="D92" i="75"/>
  <c r="D65" i="75"/>
  <c r="E68" i="75"/>
  <c r="D42" i="75"/>
  <c r="C85" i="75"/>
  <c r="E61" i="75"/>
  <c r="D37" i="75"/>
  <c r="C80" i="75"/>
  <c r="C86" i="75"/>
  <c r="C57" i="75"/>
  <c r="C31" i="75"/>
  <c r="E65" i="75"/>
  <c r="E38" i="75"/>
  <c r="C82" i="75"/>
  <c r="C74" i="75"/>
  <c r="D58" i="75"/>
  <c r="C90" i="75"/>
  <c r="D53" i="75"/>
  <c r="C46" i="75"/>
  <c r="C84" i="75"/>
  <c r="C73" i="75"/>
  <c r="D36" i="75"/>
  <c r="E81" i="75"/>
  <c r="E54" i="75"/>
  <c r="C58" i="75"/>
  <c r="C96" i="75"/>
  <c r="D74" i="75"/>
  <c r="D40" i="75"/>
  <c r="E93" i="75"/>
  <c r="D69" i="75"/>
  <c r="E72" i="75"/>
  <c r="D46" i="75"/>
  <c r="C89" i="75"/>
  <c r="D76" i="75"/>
  <c r="D49" i="75"/>
  <c r="C42" i="75"/>
  <c r="E88" i="75"/>
  <c r="C69" i="75"/>
  <c r="D32" i="75"/>
  <c r="E77" i="75"/>
  <c r="E42" i="75"/>
  <c r="E32" i="75"/>
  <c r="C78" i="75"/>
  <c r="D62" i="75"/>
  <c r="C94" i="75"/>
  <c r="C71" i="75"/>
  <c r="C44" i="75"/>
  <c r="C34" i="75"/>
  <c r="D85" i="75"/>
  <c r="D95" i="75"/>
  <c r="C83" i="75"/>
  <c r="E58" i="75"/>
  <c r="C62" i="75"/>
  <c r="C33" i="75"/>
  <c r="D78" i="75"/>
  <c r="D44" i="75"/>
  <c r="C87" i="75"/>
  <c r="C60" i="75"/>
  <c r="E52" i="75"/>
  <c r="E90" i="75"/>
  <c r="E79" i="75"/>
  <c r="E45" i="75"/>
  <c r="D88" i="75"/>
  <c r="K82" i="75"/>
  <c r="J97" i="75"/>
  <c r="K54" i="75"/>
  <c r="I56" i="75"/>
  <c r="J85" i="75"/>
  <c r="I36" i="75"/>
  <c r="K80" i="75"/>
  <c r="I97" i="75"/>
  <c r="K53" i="75"/>
  <c r="I73" i="75"/>
  <c r="K68" i="75"/>
  <c r="I79" i="75"/>
  <c r="I93" i="75"/>
  <c r="J50" i="75"/>
  <c r="I72" i="75"/>
  <c r="J89" i="75"/>
  <c r="I52" i="75"/>
  <c r="K97" i="75"/>
  <c r="I54" i="75"/>
  <c r="K69" i="75"/>
  <c r="I89" i="75"/>
  <c r="J46" i="75"/>
  <c r="J63" i="75"/>
  <c r="J84" i="75"/>
  <c r="K41" i="75"/>
  <c r="J66" i="75"/>
  <c r="I76" i="75"/>
  <c r="I32" i="75"/>
  <c r="K66" i="75"/>
  <c r="J95" i="75"/>
  <c r="K46" i="75"/>
  <c r="J91" i="75"/>
  <c r="K48" i="75"/>
  <c r="J64" i="75"/>
  <c r="K83" i="75"/>
  <c r="I41" i="75"/>
  <c r="I58" i="75"/>
  <c r="J68" i="75"/>
  <c r="J82" i="75"/>
  <c r="I37" i="75"/>
  <c r="J61" i="75"/>
  <c r="J96" i="75"/>
  <c r="J41" i="75"/>
  <c r="I86" i="75"/>
  <c r="I38" i="75"/>
  <c r="J78" i="75"/>
  <c r="I33" i="75"/>
  <c r="K52" i="75"/>
  <c r="K73" i="75"/>
  <c r="I98" i="75"/>
  <c r="I64" i="75"/>
  <c r="I90" i="75"/>
  <c r="I44" i="75"/>
  <c r="K34" i="75"/>
  <c r="J57" i="75"/>
  <c r="J81" i="75"/>
  <c r="I75" i="75"/>
  <c r="J94" i="75"/>
  <c r="K98" i="75"/>
  <c r="I34" i="75"/>
  <c r="K57" i="75"/>
  <c r="K71" i="75"/>
  <c r="K50" i="75"/>
  <c r="J73" i="75"/>
  <c r="K94" i="75"/>
  <c r="J75" i="75"/>
  <c r="I91" i="75"/>
  <c r="J48" i="75"/>
  <c r="K67" i="75"/>
  <c r="K84" i="75"/>
  <c r="I42" i="75"/>
  <c r="I63" i="75"/>
  <c r="K87" i="75"/>
  <c r="I45" i="75"/>
  <c r="J53" i="75"/>
  <c r="K78" i="75"/>
  <c r="J45" i="75"/>
  <c r="I68" i="75"/>
  <c r="K74" i="75"/>
  <c r="I70" i="75"/>
  <c r="K85" i="75"/>
  <c r="K37" i="75"/>
  <c r="J62" i="75"/>
  <c r="J79" i="75"/>
  <c r="K89" i="75"/>
  <c r="K33" i="75"/>
  <c r="I61" i="75"/>
  <c r="J93" i="75"/>
  <c r="I40" i="75"/>
  <c r="K62" i="75"/>
  <c r="I92" i="75"/>
  <c r="K64" i="75"/>
  <c r="J80" i="75"/>
  <c r="K96" i="75"/>
  <c r="I57" i="75"/>
  <c r="I74" i="75"/>
  <c r="I95" i="75"/>
  <c r="J52" i="75"/>
  <c r="I77" i="75"/>
  <c r="K31" i="75"/>
  <c r="K42" i="75"/>
  <c r="J65" i="75"/>
  <c r="I88" i="75"/>
  <c r="J37" i="75"/>
  <c r="I60" i="75"/>
  <c r="K86" i="75"/>
  <c r="I62" i="75"/>
  <c r="J72" i="75"/>
  <c r="J86" i="75"/>
  <c r="J38" i="75"/>
  <c r="J31" i="75"/>
  <c r="I31" i="75"/>
  <c r="J58" i="75"/>
  <c r="J77" i="75"/>
  <c r="K56" i="75"/>
  <c r="K77" i="75"/>
  <c r="J32" i="75"/>
  <c r="I96" i="75"/>
  <c r="I50" i="75"/>
  <c r="I71" i="75"/>
  <c r="K95" i="75"/>
  <c r="I53" i="75"/>
  <c r="I48" i="75"/>
  <c r="K70" i="75"/>
  <c r="I84" i="75"/>
  <c r="K72" i="75"/>
  <c r="I83" i="75"/>
  <c r="J98" i="75"/>
  <c r="J54" i="75"/>
  <c r="I66" i="75"/>
  <c r="I87" i="75"/>
  <c r="J44" i="75"/>
  <c r="I69" i="75"/>
  <c r="K92" i="75"/>
  <c r="J88" i="75"/>
  <c r="K45" i="75"/>
  <c r="J70" i="75"/>
  <c r="I82" i="75"/>
  <c r="K36" i="75"/>
  <c r="I85" i="75"/>
  <c r="K58" i="75"/>
  <c r="K90" i="75"/>
  <c r="K38" i="75"/>
  <c r="J83" i="75"/>
  <c r="K93" i="75"/>
  <c r="J40" i="75"/>
  <c r="I65" i="75"/>
  <c r="K76" i="75"/>
  <c r="J76" i="75"/>
  <c r="K79" i="75"/>
  <c r="J33" i="75"/>
  <c r="I78" i="75"/>
  <c r="K32" i="75"/>
  <c r="J56" i="75"/>
  <c r="I81" i="75"/>
  <c r="J71" i="75"/>
  <c r="J92" i="75"/>
  <c r="K49" i="75"/>
  <c r="J74" i="75"/>
  <c r="J69" i="75"/>
  <c r="I80" i="75"/>
  <c r="J49" i="75"/>
  <c r="I94" i="75"/>
  <c r="K40" i="75"/>
  <c r="K61" i="75"/>
  <c r="K75" i="75"/>
  <c r="J87" i="75"/>
  <c r="K44" i="75"/>
  <c r="K65" i="75"/>
  <c r="J90" i="75"/>
  <c r="J34" i="75"/>
  <c r="K88" i="75"/>
  <c r="I46" i="75"/>
  <c r="K91" i="75"/>
  <c r="I49" i="75"/>
  <c r="K60" i="75"/>
  <c r="K81" i="75"/>
  <c r="J36" i="75"/>
  <c r="J60" i="75"/>
  <c r="J42" i="75"/>
  <c r="V106" i="75" l="1"/>
  <c r="N10" i="75"/>
  <c r="W16" i="75"/>
  <c r="W108" i="75"/>
  <c r="Y16" i="75"/>
  <c r="Y108" i="75"/>
  <c r="Z107" i="75"/>
  <c r="Z15" i="75"/>
  <c r="X15" i="75"/>
  <c r="X107" i="75"/>
  <c r="AK16" i="75"/>
  <c r="AK108" i="75"/>
  <c r="U108" i="75"/>
  <c r="U16" i="75"/>
  <c r="S16" i="75"/>
  <c r="S108" i="75"/>
  <c r="T15" i="75"/>
  <c r="T107" i="75"/>
  <c r="Q16" i="75"/>
  <c r="Q108" i="75"/>
  <c r="R15" i="75"/>
  <c r="R107" i="75"/>
  <c r="AH108" i="75"/>
  <c r="AH16" i="75"/>
  <c r="AJ15" i="75"/>
  <c r="AJ107" i="75"/>
  <c r="AJ16" i="75"/>
  <c r="AJ108" i="75"/>
  <c r="AG15" i="75"/>
  <c r="AG107" i="75"/>
  <c r="AF16" i="75"/>
  <c r="AF108" i="75"/>
  <c r="O108" i="75"/>
  <c r="O16" i="75"/>
  <c r="M16" i="75"/>
  <c r="M108" i="75"/>
  <c r="L108" i="75"/>
  <c r="L16" i="75"/>
  <c r="L107" i="75"/>
  <c r="L15" i="75"/>
  <c r="M107" i="75"/>
  <c r="M15" i="75"/>
  <c r="AA16" i="75"/>
  <c r="AA108" i="75"/>
  <c r="AC108" i="75"/>
  <c r="AC16" i="75"/>
  <c r="AE107" i="75"/>
  <c r="AE15" i="75"/>
  <c r="AA107" i="75"/>
  <c r="AA15" i="75"/>
  <c r="AC107" i="75"/>
  <c r="AC15" i="75"/>
  <c r="V16" i="75"/>
  <c r="V108" i="75"/>
  <c r="X16" i="75"/>
  <c r="X108" i="75"/>
  <c r="Z16" i="75"/>
  <c r="Z108" i="75"/>
  <c r="W15" i="75"/>
  <c r="W107" i="75"/>
  <c r="V15" i="75"/>
  <c r="V107" i="75"/>
  <c r="Y107" i="75"/>
  <c r="Y15" i="75"/>
  <c r="R108" i="75"/>
  <c r="R16" i="75"/>
  <c r="S107" i="75"/>
  <c r="S15" i="75"/>
  <c r="Q15" i="75"/>
  <c r="Q107" i="75"/>
  <c r="U107" i="75"/>
  <c r="U15" i="75"/>
  <c r="T16" i="75"/>
  <c r="T108" i="75"/>
  <c r="AH107" i="75"/>
  <c r="AH15" i="75"/>
  <c r="AI15" i="75"/>
  <c r="AI107" i="75"/>
  <c r="AF107" i="75"/>
  <c r="AF15" i="75"/>
  <c r="AG108" i="75"/>
  <c r="AG16" i="75"/>
  <c r="AI108" i="75"/>
  <c r="AI16" i="75"/>
  <c r="N16" i="75"/>
  <c r="N108" i="75"/>
  <c r="P108" i="75"/>
  <c r="P16" i="75"/>
  <c r="O15" i="75"/>
  <c r="O107" i="75"/>
  <c r="P107" i="75"/>
  <c r="P15" i="75"/>
  <c r="N15" i="75"/>
  <c r="N107" i="75"/>
  <c r="AE108" i="75"/>
  <c r="AE16" i="75"/>
  <c r="AD108" i="75"/>
  <c r="AD16" i="75"/>
  <c r="AB108" i="75"/>
  <c r="AB16" i="75"/>
  <c r="AB107" i="75"/>
  <c r="AB15" i="75"/>
  <c r="AD15" i="75"/>
  <c r="AD107" i="75"/>
  <c r="L13" i="75"/>
  <c r="L105" i="75"/>
  <c r="O112" i="75"/>
  <c r="O20" i="75"/>
  <c r="M21" i="75"/>
  <c r="M113" i="75"/>
  <c r="N110" i="75"/>
  <c r="N18" i="75"/>
  <c r="N103" i="75"/>
  <c r="N11" i="75"/>
  <c r="O13" i="75"/>
  <c r="O105" i="75"/>
  <c r="N24" i="75"/>
  <c r="N116" i="75"/>
  <c r="L102" i="75"/>
  <c r="L10" i="75"/>
  <c r="P10" i="75"/>
  <c r="P102" i="75"/>
  <c r="M109" i="75"/>
  <c r="M17" i="75"/>
  <c r="N13" i="75"/>
  <c r="N105" i="75"/>
  <c r="N17" i="75"/>
  <c r="N109" i="75"/>
  <c r="N111" i="75"/>
  <c r="N19" i="75"/>
  <c r="N22" i="75"/>
  <c r="N114" i="75"/>
  <c r="P23" i="75"/>
  <c r="P115" i="75"/>
  <c r="AI21" i="75"/>
  <c r="AI113" i="75"/>
  <c r="AH19" i="75"/>
  <c r="AH111" i="75"/>
  <c r="AF110" i="75"/>
  <c r="AF18" i="75"/>
  <c r="AI24" i="75"/>
  <c r="AI116" i="75"/>
  <c r="AI19" i="75"/>
  <c r="AI111" i="75"/>
  <c r="AJ13" i="75"/>
  <c r="AJ105" i="75"/>
  <c r="AI18" i="75"/>
  <c r="AI110" i="75"/>
  <c r="S18" i="75"/>
  <c r="S110" i="75"/>
  <c r="T14" i="75"/>
  <c r="T106" i="75"/>
  <c r="U104" i="75"/>
  <c r="U12" i="75"/>
  <c r="R104" i="75"/>
  <c r="R12" i="75"/>
  <c r="S115" i="75"/>
  <c r="S23" i="75"/>
  <c r="R109" i="75"/>
  <c r="R17" i="75"/>
  <c r="R13" i="75"/>
  <c r="R105" i="75"/>
  <c r="U109" i="75"/>
  <c r="U17" i="75"/>
  <c r="T20" i="75"/>
  <c r="T112" i="75"/>
  <c r="U10" i="75"/>
  <c r="U102" i="75"/>
  <c r="U21" i="75"/>
  <c r="U113" i="75"/>
  <c r="T104" i="75"/>
  <c r="T12" i="75"/>
  <c r="T10" i="75"/>
  <c r="T102" i="75"/>
  <c r="Q113" i="75"/>
  <c r="Q21" i="75"/>
  <c r="T105" i="75"/>
  <c r="T13" i="75"/>
  <c r="AD109" i="75"/>
  <c r="AD17" i="75"/>
  <c r="AB11" i="75"/>
  <c r="AB103" i="75"/>
  <c r="AB111" i="75"/>
  <c r="AB19" i="75"/>
  <c r="AA102" i="75"/>
  <c r="AA10" i="75"/>
  <c r="AA110" i="75"/>
  <c r="AA18" i="75"/>
  <c r="AD21" i="75"/>
  <c r="AD113" i="75"/>
  <c r="AD111" i="75"/>
  <c r="AD19" i="75"/>
  <c r="AH24" i="75"/>
  <c r="AH116" i="75"/>
  <c r="AG23" i="75"/>
  <c r="AG115" i="75"/>
  <c r="AI114" i="75"/>
  <c r="AI22" i="75"/>
  <c r="AH18" i="75"/>
  <c r="AH110" i="75"/>
  <c r="AH12" i="75"/>
  <c r="AH104" i="75"/>
  <c r="Z113" i="75"/>
  <c r="Z21" i="75"/>
  <c r="Z24" i="75"/>
  <c r="Z116" i="75"/>
  <c r="V112" i="75"/>
  <c r="V20" i="75"/>
  <c r="Z11" i="75"/>
  <c r="Z103" i="75"/>
  <c r="X21" i="75"/>
  <c r="X113" i="75"/>
  <c r="V104" i="75"/>
  <c r="V12" i="75"/>
  <c r="W19" i="75"/>
  <c r="W111" i="75"/>
  <c r="W109" i="75"/>
  <c r="W17" i="75"/>
  <c r="Z106" i="75"/>
  <c r="Z14" i="75"/>
  <c r="Y21" i="75"/>
  <c r="Y113" i="75"/>
  <c r="Y112" i="75"/>
  <c r="Y20" i="75"/>
  <c r="Y24" i="75"/>
  <c r="Y116" i="75"/>
  <c r="V17" i="75"/>
  <c r="V109" i="75"/>
  <c r="W114" i="75"/>
  <c r="W22" i="75"/>
  <c r="AK105" i="75"/>
  <c r="AK13" i="75"/>
  <c r="AK114" i="75"/>
  <c r="AK22" i="75"/>
  <c r="AB24" i="75"/>
  <c r="AB116" i="75"/>
  <c r="AD18" i="75"/>
  <c r="AD110" i="75"/>
  <c r="AC104" i="75"/>
  <c r="AC12" i="75"/>
  <c r="AC113" i="75"/>
  <c r="AC21" i="75"/>
  <c r="AB18" i="75"/>
  <c r="AB110" i="75"/>
  <c r="AD24" i="75"/>
  <c r="AD116" i="75"/>
  <c r="AE14" i="75"/>
  <c r="AE106" i="75"/>
  <c r="AB112" i="75"/>
  <c r="AB20" i="75"/>
  <c r="AC10" i="75"/>
  <c r="AC102" i="75"/>
  <c r="AJ17" i="75"/>
  <c r="AJ109" i="75"/>
  <c r="AH22" i="75"/>
  <c r="AH114" i="75"/>
  <c r="AF20" i="75"/>
  <c r="AF112" i="75"/>
  <c r="AF22" i="75"/>
  <c r="AF114" i="75"/>
  <c r="AJ20" i="75"/>
  <c r="AJ112" i="75"/>
  <c r="CS72" i="6"/>
  <c r="M14" i="75"/>
  <c r="M106" i="75"/>
  <c r="M114" i="75"/>
  <c r="M22" i="75"/>
  <c r="P106" i="75"/>
  <c r="P14" i="75"/>
  <c r="L115" i="75"/>
  <c r="L23" i="75"/>
  <c r="M115" i="75"/>
  <c r="M23" i="75"/>
  <c r="M112" i="75"/>
  <c r="M20" i="75"/>
  <c r="M11" i="75"/>
  <c r="M103" i="75"/>
  <c r="O109" i="75"/>
  <c r="O17" i="75"/>
  <c r="N14" i="75"/>
  <c r="N106" i="75"/>
  <c r="O12" i="75"/>
  <c r="O104" i="75"/>
  <c r="O111" i="75"/>
  <c r="O19" i="75"/>
  <c r="L21" i="75"/>
  <c r="L113" i="75"/>
  <c r="O22" i="75"/>
  <c r="O114" i="75"/>
  <c r="M18" i="75"/>
  <c r="M110" i="75"/>
  <c r="M13" i="75"/>
  <c r="M105" i="75"/>
  <c r="P22" i="75"/>
  <c r="P114" i="75"/>
  <c r="M10" i="75"/>
  <c r="M102" i="75"/>
  <c r="AH17" i="75"/>
  <c r="AH109" i="75"/>
  <c r="AI12" i="75"/>
  <c r="AI104" i="75"/>
  <c r="AF106" i="75"/>
  <c r="AF14" i="75"/>
  <c r="AF10" i="75"/>
  <c r="AF102" i="75"/>
  <c r="AJ115" i="75"/>
  <c r="AJ23" i="75"/>
  <c r="AH112" i="75"/>
  <c r="AH20" i="75"/>
  <c r="AI103" i="75"/>
  <c r="AI11" i="75"/>
  <c r="U115" i="75"/>
  <c r="U23" i="75"/>
  <c r="U20" i="75"/>
  <c r="U112" i="75"/>
  <c r="Q106" i="75"/>
  <c r="Q14" i="75"/>
  <c r="U13" i="75"/>
  <c r="U105" i="75"/>
  <c r="T19" i="75"/>
  <c r="T111" i="75"/>
  <c r="R24" i="75"/>
  <c r="R116" i="75"/>
  <c r="Q103" i="75"/>
  <c r="Q11" i="75"/>
  <c r="R110" i="75"/>
  <c r="R18" i="75"/>
  <c r="R113" i="75"/>
  <c r="R21" i="75"/>
  <c r="T115" i="75"/>
  <c r="T23" i="75"/>
  <c r="U18" i="75"/>
  <c r="U110" i="75"/>
  <c r="T11" i="75"/>
  <c r="T103" i="75"/>
  <c r="U106" i="75"/>
  <c r="U14" i="75"/>
  <c r="T17" i="75"/>
  <c r="T109" i="75"/>
  <c r="S13" i="75"/>
  <c r="S105" i="75"/>
  <c r="S24" i="75"/>
  <c r="S116" i="75"/>
  <c r="AE113" i="75"/>
  <c r="AE21" i="75"/>
  <c r="AD11" i="75"/>
  <c r="AD103" i="75"/>
  <c r="AC112" i="75"/>
  <c r="AC20" i="75"/>
  <c r="AA111" i="75"/>
  <c r="AA19" i="75"/>
  <c r="AC24" i="75"/>
  <c r="AC116" i="75"/>
  <c r="AE112" i="75"/>
  <c r="AE20" i="75"/>
  <c r="AD20" i="75"/>
  <c r="AD112" i="75"/>
  <c r="AG24" i="75"/>
  <c r="AG116" i="75"/>
  <c r="AG106" i="75"/>
  <c r="AG14" i="75"/>
  <c r="Y114" i="75"/>
  <c r="Y22" i="75"/>
  <c r="W24" i="75"/>
  <c r="W116" i="75"/>
  <c r="W21" i="75"/>
  <c r="W113" i="75"/>
  <c r="W106" i="75"/>
  <c r="W14" i="75"/>
  <c r="V110" i="75"/>
  <c r="V18" i="75"/>
  <c r="V13" i="75"/>
  <c r="V105" i="75"/>
  <c r="W105" i="75"/>
  <c r="W13" i="75"/>
  <c r="X104" i="75"/>
  <c r="X12" i="75"/>
  <c r="V10" i="75"/>
  <c r="V102" i="75"/>
  <c r="Z111" i="75"/>
  <c r="Z19" i="75"/>
  <c r="X23" i="75"/>
  <c r="X115" i="75"/>
  <c r="Z22" i="75"/>
  <c r="Z114" i="75"/>
  <c r="Z20" i="75"/>
  <c r="Z112" i="75"/>
  <c r="X106" i="75"/>
  <c r="X14" i="75"/>
  <c r="Z10" i="75"/>
  <c r="Z102" i="75"/>
  <c r="W12" i="75"/>
  <c r="W104" i="75"/>
  <c r="V21" i="75"/>
  <c r="V113" i="75"/>
  <c r="X22" i="75"/>
  <c r="X114" i="75"/>
  <c r="V11" i="75"/>
  <c r="V103" i="75"/>
  <c r="AK20" i="75"/>
  <c r="AK112" i="75"/>
  <c r="AK104" i="75"/>
  <c r="AK12" i="75"/>
  <c r="AK115" i="75"/>
  <c r="AK23" i="75"/>
  <c r="AE102" i="75"/>
  <c r="AE10" i="75"/>
  <c r="AE110" i="75"/>
  <c r="AE18" i="75"/>
  <c r="AD104" i="75"/>
  <c r="AD12" i="75"/>
  <c r="AE23" i="75"/>
  <c r="AE115" i="75"/>
  <c r="AB104" i="75"/>
  <c r="AB12" i="75"/>
  <c r="AE109" i="75"/>
  <c r="AE17" i="75"/>
  <c r="AA21" i="75"/>
  <c r="AA113" i="75"/>
  <c r="AB14" i="75"/>
  <c r="AB106" i="75"/>
  <c r="AA14" i="75"/>
  <c r="AA106" i="75"/>
  <c r="AJ18" i="75"/>
  <c r="AJ110" i="75"/>
  <c r="AH11" i="75"/>
  <c r="AH103" i="75"/>
  <c r="AI109" i="75"/>
  <c r="AI17" i="75"/>
  <c r="AJ24" i="75"/>
  <c r="AJ116" i="75"/>
  <c r="P24" i="75"/>
  <c r="P116" i="75"/>
  <c r="O110" i="75"/>
  <c r="O18" i="75"/>
  <c r="O10" i="75"/>
  <c r="O102" i="75"/>
  <c r="L11" i="75"/>
  <c r="L103" i="75"/>
  <c r="N112" i="75"/>
  <c r="N20" i="75"/>
  <c r="L24" i="75"/>
  <c r="L116" i="75"/>
  <c r="P112" i="75"/>
  <c r="P20" i="75"/>
  <c r="O14" i="75"/>
  <c r="O106" i="75"/>
  <c r="L106" i="75"/>
  <c r="L14" i="75"/>
  <c r="L12" i="75"/>
  <c r="L104" i="75"/>
  <c r="P104" i="75"/>
  <c r="P12" i="75"/>
  <c r="L109" i="75"/>
  <c r="L17" i="75"/>
  <c r="O11" i="75"/>
  <c r="O103" i="75"/>
  <c r="L110" i="75"/>
  <c r="L18" i="75"/>
  <c r="M24" i="75"/>
  <c r="M116" i="75"/>
  <c r="O113" i="75"/>
  <c r="O21" i="75"/>
  <c r="AF17" i="75"/>
  <c r="AF109" i="75"/>
  <c r="AG110" i="75"/>
  <c r="AG18" i="75"/>
  <c r="AG111" i="75"/>
  <c r="AG19" i="75"/>
  <c r="AG112" i="75"/>
  <c r="AG20" i="75"/>
  <c r="AF23" i="75"/>
  <c r="AF115" i="75"/>
  <c r="AF24" i="75"/>
  <c r="AF116" i="75"/>
  <c r="AI115" i="75"/>
  <c r="AI23" i="75"/>
  <c r="AJ22" i="75"/>
  <c r="AJ114" i="75"/>
  <c r="AI112" i="75"/>
  <c r="AI20" i="75"/>
  <c r="Q112" i="75"/>
  <c r="Q20" i="75"/>
  <c r="T21" i="75"/>
  <c r="T113" i="75"/>
  <c r="S113" i="75"/>
  <c r="S21" i="75"/>
  <c r="T110" i="75"/>
  <c r="T18" i="75"/>
  <c r="R19" i="75"/>
  <c r="R111" i="75"/>
  <c r="Q24" i="75"/>
  <c r="Q116" i="75"/>
  <c r="Q22" i="75"/>
  <c r="Q114" i="75"/>
  <c r="Q18" i="75"/>
  <c r="Q110" i="75"/>
  <c r="Q105" i="75"/>
  <c r="Q13" i="75"/>
  <c r="R114" i="75"/>
  <c r="R22" i="75"/>
  <c r="S103" i="75"/>
  <c r="S11" i="75"/>
  <c r="U24" i="75"/>
  <c r="U116" i="75"/>
  <c r="R103" i="75"/>
  <c r="R11" i="75"/>
  <c r="S17" i="75"/>
  <c r="S109" i="75"/>
  <c r="Q12" i="75"/>
  <c r="Q104" i="75"/>
  <c r="R20" i="75"/>
  <c r="R112" i="75"/>
  <c r="U19" i="75"/>
  <c r="U111" i="75"/>
  <c r="U114" i="75"/>
  <c r="U22" i="75"/>
  <c r="AA105" i="75"/>
  <c r="AA13" i="75"/>
  <c r="AE22" i="75"/>
  <c r="AE114" i="75"/>
  <c r="AB22" i="75"/>
  <c r="AB114" i="75"/>
  <c r="AB113" i="75"/>
  <c r="AB21" i="75"/>
  <c r="AD102" i="75"/>
  <c r="AD10" i="75"/>
  <c r="AB115" i="75"/>
  <c r="AB23" i="75"/>
  <c r="AB102" i="75"/>
  <c r="AB10" i="75"/>
  <c r="AA22" i="75"/>
  <c r="AA114" i="75"/>
  <c r="AG103" i="75"/>
  <c r="AG11" i="75"/>
  <c r="AJ102" i="75"/>
  <c r="AJ10" i="75"/>
  <c r="W103" i="75"/>
  <c r="W11" i="75"/>
  <c r="Z17" i="75"/>
  <c r="Z109" i="75"/>
  <c r="X13" i="75"/>
  <c r="X105" i="75"/>
  <c r="Y109" i="75"/>
  <c r="Y17" i="75"/>
  <c r="V111" i="75"/>
  <c r="V19" i="75"/>
  <c r="V24" i="75"/>
  <c r="V116" i="75"/>
  <c r="X112" i="75"/>
  <c r="X20" i="75"/>
  <c r="X111" i="75"/>
  <c r="X19" i="75"/>
  <c r="Y12" i="75"/>
  <c r="Y104" i="75"/>
  <c r="Z18" i="75"/>
  <c r="Z110" i="75"/>
  <c r="X24" i="75"/>
  <c r="X116" i="75"/>
  <c r="W20" i="75"/>
  <c r="W112" i="75"/>
  <c r="Y18" i="75"/>
  <c r="Y110" i="75"/>
  <c r="X103" i="75"/>
  <c r="X11" i="75"/>
  <c r="X17" i="75"/>
  <c r="X109" i="75"/>
  <c r="Z12" i="75"/>
  <c r="Z104" i="75"/>
  <c r="AK110" i="75"/>
  <c r="AK18" i="75"/>
  <c r="AK11" i="75"/>
  <c r="AK103" i="75"/>
  <c r="AK106" i="75"/>
  <c r="AK14" i="75"/>
  <c r="AK19" i="75"/>
  <c r="AK111" i="75"/>
  <c r="AD23" i="75"/>
  <c r="AD115" i="75"/>
  <c r="AA24" i="75"/>
  <c r="AA116" i="75"/>
  <c r="AA109" i="75"/>
  <c r="AA17" i="75"/>
  <c r="AC111" i="75"/>
  <c r="AC19" i="75"/>
  <c r="AC114" i="75"/>
  <c r="AC22" i="75"/>
  <c r="AE104" i="75"/>
  <c r="AE12" i="75"/>
  <c r="AE24" i="75"/>
  <c r="AE116" i="75"/>
  <c r="AH13" i="75"/>
  <c r="AH105" i="75"/>
  <c r="AH10" i="75"/>
  <c r="AH102" i="75"/>
  <c r="AJ19" i="75"/>
  <c r="AJ111" i="75"/>
  <c r="E73" i="6"/>
  <c r="B73" i="6" s="1"/>
  <c r="C73" i="6" s="1"/>
  <c r="P109" i="75"/>
  <c r="P17" i="75"/>
  <c r="L20" i="75"/>
  <c r="L112" i="75"/>
  <c r="N12" i="75"/>
  <c r="N104" i="75"/>
  <c r="P103" i="75"/>
  <c r="P11" i="75"/>
  <c r="N115" i="75"/>
  <c r="N23" i="75"/>
  <c r="P111" i="75"/>
  <c r="P19" i="75"/>
  <c r="M19" i="75"/>
  <c r="M111" i="75"/>
  <c r="P110" i="75"/>
  <c r="P18" i="75"/>
  <c r="L114" i="75"/>
  <c r="L22" i="75"/>
  <c r="M104" i="75"/>
  <c r="M12" i="75"/>
  <c r="P105" i="75"/>
  <c r="P13" i="75"/>
  <c r="L19" i="75"/>
  <c r="L111" i="75"/>
  <c r="P113" i="75"/>
  <c r="P21" i="75"/>
  <c r="N113" i="75"/>
  <c r="N21" i="75"/>
  <c r="O23" i="75"/>
  <c r="O115" i="75"/>
  <c r="O24" i="75"/>
  <c r="O116" i="75"/>
  <c r="AJ113" i="75"/>
  <c r="AJ21" i="75"/>
  <c r="AJ106" i="75"/>
  <c r="AJ14" i="75"/>
  <c r="AG22" i="75"/>
  <c r="AG114" i="75"/>
  <c r="AF11" i="75"/>
  <c r="AF103" i="75"/>
  <c r="AJ104" i="75"/>
  <c r="AJ12" i="75"/>
  <c r="AH113" i="75"/>
  <c r="AH21" i="75"/>
  <c r="AI10" i="75"/>
  <c r="AI102" i="75"/>
  <c r="AF12" i="75"/>
  <c r="AF104" i="75"/>
  <c r="AH14" i="75"/>
  <c r="AH106" i="75"/>
  <c r="AF13" i="75"/>
  <c r="AF105" i="75"/>
  <c r="AI105" i="75"/>
  <c r="AI13" i="75"/>
  <c r="R14" i="75"/>
  <c r="R106" i="75"/>
  <c r="S112" i="75"/>
  <c r="S20" i="75"/>
  <c r="S106" i="75"/>
  <c r="S14" i="75"/>
  <c r="Q115" i="75"/>
  <c r="Q23" i="75"/>
  <c r="S19" i="75"/>
  <c r="S111" i="75"/>
  <c r="R23" i="75"/>
  <c r="R115" i="75"/>
  <c r="U103" i="75"/>
  <c r="U11" i="75"/>
  <c r="Q19" i="75"/>
  <c r="Q111" i="75"/>
  <c r="Q102" i="75"/>
  <c r="Q10" i="75"/>
  <c r="S102" i="75"/>
  <c r="S10" i="75"/>
  <c r="T114" i="75"/>
  <c r="T22" i="75"/>
  <c r="T24" i="75"/>
  <c r="T116" i="75"/>
  <c r="Q109" i="75"/>
  <c r="Q17" i="75"/>
  <c r="R10" i="75"/>
  <c r="R102" i="75"/>
  <c r="S22" i="75"/>
  <c r="S114" i="75"/>
  <c r="AD14" i="75"/>
  <c r="AD106" i="75"/>
  <c r="AA103" i="75"/>
  <c r="AA11" i="75"/>
  <c r="AE103" i="75"/>
  <c r="AE11" i="75"/>
  <c r="AA115" i="75"/>
  <c r="AA23" i="75"/>
  <c r="AC110" i="75"/>
  <c r="AC18" i="75"/>
  <c r="AC103" i="75"/>
  <c r="AC11" i="75"/>
  <c r="AC23" i="75"/>
  <c r="AC115" i="75"/>
  <c r="AB105" i="75"/>
  <c r="AB13" i="75"/>
  <c r="AD13" i="75"/>
  <c r="AD105" i="75"/>
  <c r="AE19" i="75"/>
  <c r="AE111" i="75"/>
  <c r="AG113" i="75"/>
  <c r="AG21" i="75"/>
  <c r="AG105" i="75"/>
  <c r="AG13" i="75"/>
  <c r="AF19" i="75"/>
  <c r="AF111" i="75"/>
  <c r="AF21" i="75"/>
  <c r="AF113" i="75"/>
  <c r="AJ11" i="75"/>
  <c r="AJ103" i="75"/>
  <c r="V115" i="75"/>
  <c r="V23" i="75"/>
  <c r="Z13" i="75"/>
  <c r="Z105" i="75"/>
  <c r="Z23" i="75"/>
  <c r="Z115" i="75"/>
  <c r="Y111" i="75"/>
  <c r="Y19" i="75"/>
  <c r="Y10" i="75"/>
  <c r="Y102" i="75"/>
  <c r="V22" i="75"/>
  <c r="V114" i="75"/>
  <c r="Y115" i="75"/>
  <c r="Y23" i="75"/>
  <c r="W110" i="75"/>
  <c r="W18" i="75"/>
  <c r="Y11" i="75"/>
  <c r="Y103" i="75"/>
  <c r="Y14" i="75"/>
  <c r="Y106" i="75"/>
  <c r="Y105" i="75"/>
  <c r="Y13" i="75"/>
  <c r="X10" i="75"/>
  <c r="X102" i="75"/>
  <c r="X110" i="75"/>
  <c r="X18" i="75"/>
  <c r="W23" i="75"/>
  <c r="W115" i="75"/>
  <c r="W10" i="75"/>
  <c r="W102" i="75"/>
  <c r="AK116" i="75"/>
  <c r="AK24" i="75"/>
  <c r="AK10" i="75"/>
  <c r="AK102" i="75"/>
  <c r="AK113" i="75"/>
  <c r="AK21" i="75"/>
  <c r="AK17" i="75"/>
  <c r="AK109" i="75"/>
  <c r="AA20" i="75"/>
  <c r="AA112" i="75"/>
  <c r="AE13" i="75"/>
  <c r="AE105" i="75"/>
  <c r="AA104" i="75"/>
  <c r="AA12" i="75"/>
  <c r="AC106" i="75"/>
  <c r="AC14" i="75"/>
  <c r="AC17" i="75"/>
  <c r="AC109" i="75"/>
  <c r="AC105" i="75"/>
  <c r="AC13" i="75"/>
  <c r="AD22" i="75"/>
  <c r="AD114" i="75"/>
  <c r="AB109" i="75"/>
  <c r="AB17" i="75"/>
  <c r="AH23" i="75"/>
  <c r="AH115" i="75"/>
  <c r="AG109" i="75"/>
  <c r="AG17" i="75"/>
  <c r="AG12" i="75"/>
  <c r="AG104" i="75"/>
  <c r="AI14" i="75"/>
  <c r="AI106" i="75"/>
  <c r="A63" i="44"/>
  <c r="A62" i="80"/>
  <c r="A62" i="81"/>
  <c r="A62" i="82"/>
  <c r="J10" i="75"/>
  <c r="J102" i="75"/>
  <c r="K16" i="75"/>
  <c r="K108" i="75"/>
  <c r="K116" i="75"/>
  <c r="K24" i="75"/>
  <c r="K12" i="75"/>
  <c r="K104" i="75"/>
  <c r="K112" i="75"/>
  <c r="K20" i="75"/>
  <c r="K11" i="75"/>
  <c r="K103" i="75"/>
  <c r="J19" i="75"/>
  <c r="J111" i="75"/>
  <c r="J15" i="75"/>
  <c r="J107" i="75"/>
  <c r="K21" i="75"/>
  <c r="K113" i="75"/>
  <c r="J103" i="75"/>
  <c r="J11" i="75"/>
  <c r="J22" i="75"/>
  <c r="J114" i="75"/>
  <c r="J104" i="75"/>
  <c r="J12" i="75"/>
  <c r="I19" i="75"/>
  <c r="I111" i="75"/>
  <c r="I101" i="75"/>
  <c r="I99" i="75"/>
  <c r="I9" i="75"/>
  <c r="I122" i="75"/>
  <c r="I126" i="75" s="1"/>
  <c r="K101" i="75"/>
  <c r="K99" i="75"/>
  <c r="K9" i="75"/>
  <c r="K122" i="75"/>
  <c r="K126" i="75" s="1"/>
  <c r="J14" i="75"/>
  <c r="J106" i="75"/>
  <c r="K109" i="75"/>
  <c r="K17" i="75"/>
  <c r="J113" i="75"/>
  <c r="J21" i="75"/>
  <c r="I110" i="75"/>
  <c r="I18" i="75"/>
  <c r="I17" i="75"/>
  <c r="I109" i="75"/>
  <c r="J13" i="75"/>
  <c r="J105" i="75"/>
  <c r="J20" i="75"/>
  <c r="J112" i="75"/>
  <c r="K19" i="75"/>
  <c r="K111" i="75"/>
  <c r="K106" i="75"/>
  <c r="K14" i="75"/>
  <c r="J18" i="75"/>
  <c r="J110" i="75"/>
  <c r="J116" i="75"/>
  <c r="J24" i="75"/>
  <c r="J25" i="75"/>
  <c r="J117" i="75"/>
  <c r="I113" i="75"/>
  <c r="I21" i="75"/>
  <c r="I10" i="75"/>
  <c r="I102" i="75"/>
  <c r="I15" i="75"/>
  <c r="I107" i="75"/>
  <c r="E21" i="75"/>
  <c r="E113" i="75"/>
  <c r="E106" i="75"/>
  <c r="E14" i="75"/>
  <c r="C115" i="75"/>
  <c r="C23" i="75"/>
  <c r="C114" i="75"/>
  <c r="C22" i="75"/>
  <c r="C12" i="75"/>
  <c r="C104" i="75"/>
  <c r="C101" i="75"/>
  <c r="C99" i="75"/>
  <c r="C9" i="75"/>
  <c r="C122" i="75"/>
  <c r="C126" i="75" s="1"/>
  <c r="E18" i="75"/>
  <c r="E110" i="75"/>
  <c r="E22" i="75"/>
  <c r="E114" i="75"/>
  <c r="E15" i="75"/>
  <c r="E107" i="75"/>
  <c r="D99" i="75"/>
  <c r="D122" i="75" s="1"/>
  <c r="D126" i="75" s="1"/>
  <c r="D101" i="75"/>
  <c r="D9" i="75"/>
  <c r="E11" i="75"/>
  <c r="E103" i="75"/>
  <c r="D108" i="75"/>
  <c r="D16" i="75"/>
  <c r="D109" i="75"/>
  <c r="D17" i="75"/>
  <c r="D23" i="75"/>
  <c r="D115" i="75"/>
  <c r="D110" i="75"/>
  <c r="D18" i="75"/>
  <c r="E10" i="75"/>
  <c r="E102" i="75"/>
  <c r="C17" i="75"/>
  <c r="C109" i="75"/>
  <c r="E19" i="75"/>
  <c r="E111" i="75"/>
  <c r="D13" i="75"/>
  <c r="D105" i="75"/>
  <c r="C110" i="75"/>
  <c r="C18" i="75"/>
  <c r="D106" i="75"/>
  <c r="D14" i="75"/>
  <c r="C14" i="75"/>
  <c r="C106" i="75"/>
  <c r="D24" i="75"/>
  <c r="D116" i="75"/>
  <c r="E20" i="75"/>
  <c r="E112" i="75"/>
  <c r="AH25" i="75"/>
  <c r="AH117" i="75"/>
  <c r="AF25" i="75"/>
  <c r="AF117" i="75"/>
  <c r="AJ25" i="75"/>
  <c r="AJ117" i="75"/>
  <c r="AI25" i="75"/>
  <c r="AI117" i="75"/>
  <c r="AH99" i="75"/>
  <c r="AH122" i="75" s="1"/>
  <c r="AH126" i="75" s="1"/>
  <c r="AH101" i="75"/>
  <c r="AH9" i="75"/>
  <c r="AI9" i="75"/>
  <c r="AI99" i="75"/>
  <c r="AI101" i="75"/>
  <c r="AI122" i="75"/>
  <c r="AI126" i="75" s="1"/>
  <c r="AF99" i="75"/>
  <c r="AF122" i="75" s="1"/>
  <c r="AF126" i="75" s="1"/>
  <c r="AF101" i="75"/>
  <c r="AF9" i="75"/>
  <c r="N117" i="75"/>
  <c r="N25" i="75"/>
  <c r="M25" i="75"/>
  <c r="M117" i="75"/>
  <c r="L25" i="75"/>
  <c r="L117" i="75"/>
  <c r="N99" i="75"/>
  <c r="N122" i="75" s="1"/>
  <c r="N9" i="75"/>
  <c r="N101" i="75"/>
  <c r="O101" i="75"/>
  <c r="O99" i="75"/>
  <c r="O9" i="75"/>
  <c r="O122" i="75"/>
  <c r="O126" i="75" s="1"/>
  <c r="AB25" i="75"/>
  <c r="AB117" i="75"/>
  <c r="AA25" i="75"/>
  <c r="AA117" i="75"/>
  <c r="AA101" i="75"/>
  <c r="AA99" i="75"/>
  <c r="AA9" i="75"/>
  <c r="AA122" i="75"/>
  <c r="AA126" i="75" s="1"/>
  <c r="AD99" i="75"/>
  <c r="AD122" i="75" s="1"/>
  <c r="AD9" i="75"/>
  <c r="AD101" i="75"/>
  <c r="AE9" i="75"/>
  <c r="AE99" i="75"/>
  <c r="AE101" i="75"/>
  <c r="AE122" i="75"/>
  <c r="AE126" i="75" s="1"/>
  <c r="H19" i="75"/>
  <c r="H111" i="75"/>
  <c r="H18" i="75"/>
  <c r="H110" i="75"/>
  <c r="F115" i="75"/>
  <c r="F23" i="75"/>
  <c r="H103" i="75"/>
  <c r="H11" i="75"/>
  <c r="H21" i="75"/>
  <c r="H113" i="75"/>
  <c r="F15" i="75"/>
  <c r="F107" i="75"/>
  <c r="G108" i="75"/>
  <c r="G16" i="75"/>
  <c r="F21" i="75"/>
  <c r="F113" i="75"/>
  <c r="F99" i="75"/>
  <c r="F122" i="75" s="1"/>
  <c r="F126" i="75" s="1"/>
  <c r="F9" i="75"/>
  <c r="F101" i="75"/>
  <c r="F18" i="75"/>
  <c r="F110" i="75"/>
  <c r="F111" i="75"/>
  <c r="F19" i="75"/>
  <c r="F114" i="75"/>
  <c r="F22" i="75"/>
  <c r="H13" i="75"/>
  <c r="H105" i="75"/>
  <c r="F20" i="75"/>
  <c r="F112" i="75"/>
  <c r="H101" i="75"/>
  <c r="H99" i="75"/>
  <c r="H9" i="75"/>
  <c r="H122" i="75"/>
  <c r="H126" i="75" s="1"/>
  <c r="G10" i="75"/>
  <c r="G102" i="75"/>
  <c r="H106" i="75"/>
  <c r="H14" i="75"/>
  <c r="H20" i="75"/>
  <c r="H112" i="75"/>
  <c r="G17" i="75"/>
  <c r="G109" i="75"/>
  <c r="F25" i="75"/>
  <c r="F117" i="75"/>
  <c r="F116" i="75"/>
  <c r="F24" i="75"/>
  <c r="H104" i="75"/>
  <c r="H12" i="75"/>
  <c r="Y25" i="75"/>
  <c r="Y117" i="75"/>
  <c r="X25" i="75"/>
  <c r="X117" i="75"/>
  <c r="V25" i="75"/>
  <c r="V117" i="75"/>
  <c r="Z117" i="75"/>
  <c r="Z25" i="75"/>
  <c r="X9" i="75"/>
  <c r="X99" i="75"/>
  <c r="X101" i="75"/>
  <c r="X122" i="75"/>
  <c r="X126" i="75" s="1"/>
  <c r="V99" i="75"/>
  <c r="V122" i="75" s="1"/>
  <c r="V126" i="75" s="1"/>
  <c r="V101" i="75"/>
  <c r="V9" i="75"/>
  <c r="AK101" i="75"/>
  <c r="AK9" i="75"/>
  <c r="AK99" i="75"/>
  <c r="AK122" i="75" s="1"/>
  <c r="AK126" i="75" s="1"/>
  <c r="S25" i="75"/>
  <c r="S117" i="75"/>
  <c r="U117" i="75"/>
  <c r="U25" i="75"/>
  <c r="R25" i="75"/>
  <c r="R117" i="75"/>
  <c r="T99" i="75"/>
  <c r="T122" i="75" s="1"/>
  <c r="T9" i="75"/>
  <c r="T101" i="75"/>
  <c r="U101" i="75"/>
  <c r="U99" i="75"/>
  <c r="U9" i="75"/>
  <c r="U122" i="75"/>
  <c r="U126" i="75" s="1"/>
  <c r="S99" i="75"/>
  <c r="S122" i="75" s="1"/>
  <c r="S126" i="75" s="1"/>
  <c r="S9" i="75"/>
  <c r="S101" i="75"/>
  <c r="A82" i="81"/>
  <c r="A83" i="44"/>
  <c r="A82" i="80"/>
  <c r="A82" i="82"/>
  <c r="J108" i="75"/>
  <c r="J16" i="75"/>
  <c r="J23" i="75"/>
  <c r="J115" i="75"/>
  <c r="K102" i="75"/>
  <c r="K10" i="75"/>
  <c r="I115" i="75"/>
  <c r="I23" i="75"/>
  <c r="I114" i="75"/>
  <c r="I22" i="75"/>
  <c r="I13" i="75"/>
  <c r="I105" i="75"/>
  <c r="K25" i="75"/>
  <c r="K117" i="75"/>
  <c r="K107" i="75"/>
  <c r="K15" i="75"/>
  <c r="J99" i="75"/>
  <c r="J122" i="75" s="1"/>
  <c r="J9" i="75"/>
  <c r="J101" i="75"/>
  <c r="I16" i="75"/>
  <c r="I108" i="75"/>
  <c r="I117" i="75"/>
  <c r="I25" i="75"/>
  <c r="I11" i="75"/>
  <c r="I103" i="75"/>
  <c r="K115" i="75"/>
  <c r="K23" i="75"/>
  <c r="K18" i="75"/>
  <c r="K110" i="75"/>
  <c r="I116" i="75"/>
  <c r="I24" i="75"/>
  <c r="I112" i="75"/>
  <c r="I20" i="75"/>
  <c r="I104" i="75"/>
  <c r="I12" i="75"/>
  <c r="K22" i="75"/>
  <c r="K114" i="75"/>
  <c r="K13" i="75"/>
  <c r="K105" i="75"/>
  <c r="J109" i="75"/>
  <c r="J17" i="75"/>
  <c r="I14" i="75"/>
  <c r="I106" i="75"/>
  <c r="C108" i="75"/>
  <c r="C16" i="75"/>
  <c r="D104" i="75"/>
  <c r="D12" i="75"/>
  <c r="D117" i="75"/>
  <c r="D25" i="75"/>
  <c r="C19" i="75"/>
  <c r="C111" i="75"/>
  <c r="D103" i="75"/>
  <c r="D11" i="75"/>
  <c r="D102" i="75"/>
  <c r="D10" i="75"/>
  <c r="D15" i="75"/>
  <c r="D107" i="75"/>
  <c r="C13" i="75"/>
  <c r="C105" i="75"/>
  <c r="E25" i="75"/>
  <c r="E117" i="75"/>
  <c r="D21" i="75"/>
  <c r="D113" i="75"/>
  <c r="E24" i="75"/>
  <c r="E116" i="75"/>
  <c r="D22" i="75"/>
  <c r="D114" i="75"/>
  <c r="E23" i="75"/>
  <c r="E115" i="75"/>
  <c r="D111" i="75"/>
  <c r="D19" i="75"/>
  <c r="C102" i="75"/>
  <c r="C10" i="75"/>
  <c r="D20" i="75"/>
  <c r="D112" i="75"/>
  <c r="E13" i="75"/>
  <c r="E105" i="75"/>
  <c r="C24" i="75"/>
  <c r="C116" i="75"/>
  <c r="E108" i="75"/>
  <c r="E16" i="75"/>
  <c r="C117" i="75"/>
  <c r="C25" i="75"/>
  <c r="E109" i="75"/>
  <c r="E17" i="75"/>
  <c r="C112" i="75"/>
  <c r="C20" i="75"/>
  <c r="E104" i="75"/>
  <c r="E12" i="75"/>
  <c r="C21" i="75"/>
  <c r="C113" i="75"/>
  <c r="C11" i="75"/>
  <c r="C103" i="75"/>
  <c r="C107" i="75"/>
  <c r="C15" i="75"/>
  <c r="E101" i="75"/>
  <c r="E99" i="75"/>
  <c r="E9" i="75"/>
  <c r="E122" i="75"/>
  <c r="AG117" i="75"/>
  <c r="AG25" i="75"/>
  <c r="AJ99" i="75"/>
  <c r="AJ122" i="75" s="1"/>
  <c r="AJ126" i="75" s="1"/>
  <c r="AJ101" i="75"/>
  <c r="AJ9" i="75"/>
  <c r="AG101" i="75"/>
  <c r="AG99" i="75"/>
  <c r="AG9" i="75"/>
  <c r="AG122" i="75"/>
  <c r="AG126" i="75" s="1"/>
  <c r="P25" i="75"/>
  <c r="P117" i="75"/>
  <c r="O117" i="75"/>
  <c r="O25" i="75"/>
  <c r="M99" i="75"/>
  <c r="M122" i="75" s="1"/>
  <c r="M126" i="75" s="1"/>
  <c r="M101" i="75"/>
  <c r="M9" i="75"/>
  <c r="P99" i="75"/>
  <c r="P122" i="75" s="1"/>
  <c r="P126" i="75" s="1"/>
  <c r="P101" i="75"/>
  <c r="P9" i="75"/>
  <c r="L9" i="75"/>
  <c r="L99" i="75"/>
  <c r="L101" i="75"/>
  <c r="L122" i="75"/>
  <c r="L126" i="75" s="1"/>
  <c r="AE25" i="75"/>
  <c r="AE117" i="75"/>
  <c r="AD25" i="75"/>
  <c r="AD117" i="75"/>
  <c r="AC117" i="75"/>
  <c r="AC25" i="75"/>
  <c r="AC99" i="75"/>
  <c r="AC122" i="75" s="1"/>
  <c r="AC126" i="75" s="1"/>
  <c r="AC101" i="75"/>
  <c r="AC9" i="75"/>
  <c r="AB9" i="75"/>
  <c r="AB99" i="75"/>
  <c r="AB101" i="75"/>
  <c r="AB122" i="75"/>
  <c r="AB126" i="75" s="1"/>
  <c r="G12" i="75"/>
  <c r="G104" i="75"/>
  <c r="G107" i="75"/>
  <c r="G15" i="75"/>
  <c r="F108" i="75"/>
  <c r="F16" i="75"/>
  <c r="G99" i="75"/>
  <c r="G122" i="75" s="1"/>
  <c r="G126" i="75" s="1"/>
  <c r="G9" i="75"/>
  <c r="G101" i="75"/>
  <c r="H114" i="75"/>
  <c r="H22" i="75"/>
  <c r="F10" i="75"/>
  <c r="F102" i="75"/>
  <c r="H15" i="75"/>
  <c r="H107" i="75"/>
  <c r="F13" i="75"/>
  <c r="F105" i="75"/>
  <c r="H10" i="75"/>
  <c r="H102" i="75"/>
  <c r="H116" i="75"/>
  <c r="H24" i="75"/>
  <c r="G20" i="75"/>
  <c r="G112" i="75"/>
  <c r="H23" i="75"/>
  <c r="H115" i="75"/>
  <c r="G18" i="75"/>
  <c r="G110" i="75"/>
  <c r="H117" i="75"/>
  <c r="H25" i="75"/>
  <c r="G24" i="75"/>
  <c r="G116" i="75"/>
  <c r="G111" i="75"/>
  <c r="G19" i="75"/>
  <c r="G21" i="75"/>
  <c r="G113" i="75"/>
  <c r="H109" i="75"/>
  <c r="H17" i="75"/>
  <c r="G11" i="75"/>
  <c r="G103" i="75"/>
  <c r="G117" i="75"/>
  <c r="G25" i="75"/>
  <c r="F11" i="75"/>
  <c r="F103" i="75"/>
  <c r="H108" i="75"/>
  <c r="H16" i="75"/>
  <c r="F14" i="75"/>
  <c r="F106" i="75"/>
  <c r="G114" i="75"/>
  <c r="G22" i="75"/>
  <c r="F17" i="75"/>
  <c r="F109" i="75"/>
  <c r="G106" i="75"/>
  <c r="G14" i="75"/>
  <c r="G105" i="75"/>
  <c r="G13" i="75"/>
  <c r="G23" i="75"/>
  <c r="G115" i="75"/>
  <c r="F12" i="75"/>
  <c r="F104" i="75"/>
  <c r="W25" i="75"/>
  <c r="W117" i="75"/>
  <c r="W9" i="75"/>
  <c r="W99" i="75"/>
  <c r="W122" i="75" s="1"/>
  <c r="W126" i="75" s="1"/>
  <c r="W101" i="75"/>
  <c r="Z101" i="75"/>
  <c r="Z99" i="75"/>
  <c r="Z122" i="75" s="1"/>
  <c r="Z9" i="75"/>
  <c r="Y99" i="75"/>
  <c r="Y122" i="75" s="1"/>
  <c r="Y126" i="75" s="1"/>
  <c r="Y101" i="75"/>
  <c r="Y9" i="75"/>
  <c r="AK117" i="75"/>
  <c r="AK25" i="75"/>
  <c r="AK107" i="75"/>
  <c r="AK15" i="75"/>
  <c r="Q25" i="75"/>
  <c r="Q117" i="75"/>
  <c r="T117" i="75"/>
  <c r="T25" i="75"/>
  <c r="R99" i="75"/>
  <c r="R122" i="75" s="1"/>
  <c r="R9" i="75"/>
  <c r="R101" i="75"/>
  <c r="Q101" i="75"/>
  <c r="Q99" i="75"/>
  <c r="Q122" i="75" s="1"/>
  <c r="Q126" i="75" s="1"/>
  <c r="Q9" i="75"/>
  <c r="A33" i="44"/>
  <c r="A32" i="80"/>
  <c r="A32" i="81"/>
  <c r="A32" i="82"/>
  <c r="CS73" i="6" l="1"/>
  <c r="E74" i="6"/>
  <c r="B74" i="6" s="1"/>
  <c r="C74" i="6" s="1"/>
  <c r="Z123" i="75"/>
  <c r="L123" i="75"/>
  <c r="E123" i="75"/>
  <c r="AA123" i="75"/>
  <c r="Z126" i="75"/>
  <c r="AG123" i="75"/>
  <c r="E126" i="75"/>
  <c r="U123" i="75"/>
  <c r="J123" i="75"/>
  <c r="J126" i="75"/>
  <c r="AD123" i="75"/>
  <c r="AD126" i="75"/>
  <c r="R123" i="75"/>
  <c r="R126" i="75"/>
  <c r="T123" i="75"/>
  <c r="T126" i="75"/>
  <c r="N123" i="75"/>
  <c r="N126" i="75"/>
  <c r="Q123" i="75"/>
  <c r="Q100" i="75"/>
  <c r="Q130" i="75"/>
  <c r="Y130" i="75"/>
  <c r="Y100" i="75"/>
  <c r="W123" i="75"/>
  <c r="AB123" i="75"/>
  <c r="AC130" i="75"/>
  <c r="AC100" i="75"/>
  <c r="L130" i="75"/>
  <c r="L100" i="75"/>
  <c r="P123" i="75"/>
  <c r="M123" i="75"/>
  <c r="AG130" i="75"/>
  <c r="AG100" i="75"/>
  <c r="AJ123" i="75"/>
  <c r="U130" i="75"/>
  <c r="U100" i="75"/>
  <c r="AK130" i="75"/>
  <c r="AK100" i="75"/>
  <c r="AK123" i="75"/>
  <c r="V130" i="75"/>
  <c r="V100" i="75"/>
  <c r="X123" i="75"/>
  <c r="H130" i="75"/>
  <c r="H100" i="75"/>
  <c r="F123" i="75"/>
  <c r="F130" i="75"/>
  <c r="F100" i="75"/>
  <c r="AE130" i="75"/>
  <c r="AE100" i="75"/>
  <c r="AA100" i="75"/>
  <c r="AA130" i="75"/>
  <c r="O123" i="75"/>
  <c r="O130" i="75"/>
  <c r="O100" i="75"/>
  <c r="AF130" i="75"/>
  <c r="AF100" i="75"/>
  <c r="AI123" i="75"/>
  <c r="AH100" i="75"/>
  <c r="AH130" i="75"/>
  <c r="D123" i="75"/>
  <c r="C123" i="75"/>
  <c r="K130" i="75"/>
  <c r="K100" i="75"/>
  <c r="I130" i="75"/>
  <c r="I100" i="75"/>
  <c r="R130" i="75"/>
  <c r="R100" i="75"/>
  <c r="Y123" i="75"/>
  <c r="Z130" i="75"/>
  <c r="Z100" i="75"/>
  <c r="W100" i="75"/>
  <c r="W130" i="75"/>
  <c r="G123" i="75"/>
  <c r="G100" i="75"/>
  <c r="G130" i="75"/>
  <c r="AB130" i="75"/>
  <c r="AB100" i="75"/>
  <c r="AC123" i="75"/>
  <c r="P130" i="75"/>
  <c r="P100" i="75"/>
  <c r="M130" i="75"/>
  <c r="M100" i="75"/>
  <c r="AJ130" i="75"/>
  <c r="AJ100" i="75"/>
  <c r="E130" i="75"/>
  <c r="E100" i="75"/>
  <c r="J130" i="75"/>
  <c r="J100" i="75"/>
  <c r="S123" i="75"/>
  <c r="S130" i="75"/>
  <c r="S100" i="75"/>
  <c r="T100" i="75"/>
  <c r="T130" i="75"/>
  <c r="V123" i="75"/>
  <c r="X130" i="75"/>
  <c r="X100" i="75"/>
  <c r="H123" i="75"/>
  <c r="AE123" i="75"/>
  <c r="AD130" i="75"/>
  <c r="AD100" i="75"/>
  <c r="N130" i="75"/>
  <c r="N100" i="75"/>
  <c r="AF123" i="75"/>
  <c r="AI100" i="75"/>
  <c r="AI130" i="75"/>
  <c r="AH123" i="75"/>
  <c r="D130" i="75"/>
  <c r="D100" i="75"/>
  <c r="C130" i="75"/>
  <c r="C100" i="75"/>
  <c r="K123" i="75"/>
  <c r="I123" i="75"/>
  <c r="CS74" i="6" l="1"/>
  <c r="E75" i="6"/>
  <c r="B75" i="6" s="1"/>
  <c r="C75" i="6" s="1"/>
  <c r="N127" i="75"/>
  <c r="N131" i="75" s="1"/>
  <c r="N121" i="75"/>
  <c r="N118" i="75"/>
  <c r="N119" i="75"/>
  <c r="N120" i="75"/>
  <c r="X127" i="75"/>
  <c r="X120" i="75"/>
  <c r="X121" i="75"/>
  <c r="X119" i="75"/>
  <c r="X118" i="75"/>
  <c r="T127" i="75"/>
  <c r="T131" i="75" s="1"/>
  <c r="T119" i="75"/>
  <c r="T121" i="75"/>
  <c r="T120" i="75"/>
  <c r="T118" i="75"/>
  <c r="J127" i="75"/>
  <c r="J131" i="75" s="1"/>
  <c r="J121" i="75"/>
  <c r="J120" i="75"/>
  <c r="J119" i="75"/>
  <c r="J118" i="75"/>
  <c r="E127" i="75"/>
  <c r="E131" i="75" s="1"/>
  <c r="E120" i="75"/>
  <c r="E121" i="75"/>
  <c r="E119" i="75"/>
  <c r="E118" i="75"/>
  <c r="M127" i="75"/>
  <c r="M119" i="75"/>
  <c r="M120" i="75"/>
  <c r="M121" i="75"/>
  <c r="M118" i="75"/>
  <c r="P127" i="75"/>
  <c r="P119" i="75"/>
  <c r="P121" i="75"/>
  <c r="P120" i="75"/>
  <c r="P118" i="75"/>
  <c r="AB127" i="75"/>
  <c r="AB121" i="75"/>
  <c r="AB119" i="75"/>
  <c r="AB120" i="75"/>
  <c r="AB118" i="75"/>
  <c r="C127" i="75"/>
  <c r="C131" i="75" s="1"/>
  <c r="C118" i="75"/>
  <c r="C121" i="75"/>
  <c r="C119" i="75"/>
  <c r="C120" i="75"/>
  <c r="D127" i="75"/>
  <c r="D119" i="75"/>
  <c r="D121" i="75"/>
  <c r="D118" i="75"/>
  <c r="D120" i="75"/>
  <c r="AI127" i="75"/>
  <c r="AI120" i="75"/>
  <c r="AI119" i="75"/>
  <c r="AI118" i="75"/>
  <c r="AI121" i="75"/>
  <c r="AD127" i="75"/>
  <c r="AD131" i="75" s="1"/>
  <c r="AD119" i="75"/>
  <c r="AD120" i="75"/>
  <c r="AD118" i="75"/>
  <c r="AD121" i="75"/>
  <c r="S127" i="75"/>
  <c r="S131" i="75" s="1"/>
  <c r="S120" i="75"/>
  <c r="S119" i="75"/>
  <c r="S118" i="75"/>
  <c r="S121" i="75"/>
  <c r="AJ127" i="75"/>
  <c r="AJ119" i="75"/>
  <c r="AJ120" i="75"/>
  <c r="AJ121" i="75"/>
  <c r="AJ118" i="75"/>
  <c r="G127" i="75"/>
  <c r="G131" i="75" s="1"/>
  <c r="G121" i="75"/>
  <c r="G118" i="75"/>
  <c r="G119" i="75"/>
  <c r="G120" i="75"/>
  <c r="Z127" i="75"/>
  <c r="Z131" i="75" s="1"/>
  <c r="Z120" i="75"/>
  <c r="Z121" i="75"/>
  <c r="Z119" i="75"/>
  <c r="Z118" i="75"/>
  <c r="R127" i="75"/>
  <c r="R131" i="75" s="1"/>
  <c r="R120" i="75"/>
  <c r="R119" i="75"/>
  <c r="R121" i="75"/>
  <c r="R118" i="75"/>
  <c r="I127" i="75"/>
  <c r="I120" i="75"/>
  <c r="I118" i="75"/>
  <c r="I121" i="75"/>
  <c r="I119" i="75"/>
  <c r="K127" i="75"/>
  <c r="K131" i="75" s="1"/>
  <c r="K120" i="75"/>
  <c r="K121" i="75"/>
  <c r="K118" i="75"/>
  <c r="K119" i="75"/>
  <c r="AI131" i="75"/>
  <c r="AA127" i="75"/>
  <c r="AA131" i="75" s="1"/>
  <c r="AA119" i="75"/>
  <c r="AA121" i="75"/>
  <c r="AA118" i="75"/>
  <c r="AA120" i="75"/>
  <c r="H127" i="75"/>
  <c r="H131" i="75" s="1"/>
  <c r="H118" i="75"/>
  <c r="H121" i="75"/>
  <c r="H120" i="75"/>
  <c r="H119" i="75"/>
  <c r="X131" i="75"/>
  <c r="AK127" i="75"/>
  <c r="AK119" i="75"/>
  <c r="AK118" i="75"/>
  <c r="AK120" i="75"/>
  <c r="AK121" i="75"/>
  <c r="U127" i="75"/>
  <c r="U131" i="75" s="1"/>
  <c r="U120" i="75"/>
  <c r="U118" i="75"/>
  <c r="U119" i="75"/>
  <c r="U121" i="75"/>
  <c r="AJ131" i="75"/>
  <c r="P131" i="75"/>
  <c r="Q127" i="75"/>
  <c r="Q131" i="75" s="1"/>
  <c r="Q121" i="75"/>
  <c r="Q119" i="75"/>
  <c r="Q120" i="75"/>
  <c r="Q118" i="75"/>
  <c r="I131" i="75"/>
  <c r="W127" i="75"/>
  <c r="W131" i="75" s="1"/>
  <c r="W120" i="75"/>
  <c r="W118" i="75"/>
  <c r="W119" i="75"/>
  <c r="W121" i="75"/>
  <c r="D131" i="75"/>
  <c r="AH127" i="75"/>
  <c r="AH131" i="75" s="1"/>
  <c r="AH119" i="75"/>
  <c r="AH120" i="75"/>
  <c r="AH118" i="75"/>
  <c r="AH121" i="75"/>
  <c r="AF127" i="75"/>
  <c r="AF131" i="75" s="1"/>
  <c r="AF121" i="75"/>
  <c r="AF118" i="75"/>
  <c r="AF120" i="75"/>
  <c r="AF119" i="75"/>
  <c r="O127" i="75"/>
  <c r="O131" i="75" s="1"/>
  <c r="O120" i="75"/>
  <c r="O118" i="75"/>
  <c r="O119" i="75"/>
  <c r="O121" i="75"/>
  <c r="AE127" i="75"/>
  <c r="AE131" i="75" s="1"/>
  <c r="AE121" i="75"/>
  <c r="AE119" i="75"/>
  <c r="AE118" i="75"/>
  <c r="AE120" i="75"/>
  <c r="F127" i="75"/>
  <c r="F131" i="75" s="1"/>
  <c r="F120" i="75"/>
  <c r="F119" i="75"/>
  <c r="F118" i="75"/>
  <c r="F121" i="75"/>
  <c r="V127" i="75"/>
  <c r="V131" i="75" s="1"/>
  <c r="V121" i="75"/>
  <c r="V118" i="75"/>
  <c r="V119" i="75"/>
  <c r="V120" i="75"/>
  <c r="AK131" i="75"/>
  <c r="AG127" i="75"/>
  <c r="AG131" i="75" s="1"/>
  <c r="AG119" i="75"/>
  <c r="AG121" i="75"/>
  <c r="AG120" i="75"/>
  <c r="AG118" i="75"/>
  <c r="M131" i="75"/>
  <c r="L127" i="75"/>
  <c r="L131" i="75" s="1"/>
  <c r="L119" i="75"/>
  <c r="L120" i="75"/>
  <c r="L121" i="75"/>
  <c r="L118" i="75"/>
  <c r="AC127" i="75"/>
  <c r="AC131" i="75" s="1"/>
  <c r="AC120" i="75"/>
  <c r="AC121" i="75"/>
  <c r="AC119" i="75"/>
  <c r="AC118" i="75"/>
  <c r="AB131" i="75"/>
  <c r="Y127" i="75"/>
  <c r="Y131" i="75" s="1"/>
  <c r="Y120" i="75"/>
  <c r="Y119" i="75"/>
  <c r="Y118" i="75"/>
  <c r="Y121" i="75"/>
  <c r="CS75" i="6" l="1"/>
  <c r="E76" i="6"/>
  <c r="B76" i="6" s="1"/>
  <c r="C76" i="6" s="1"/>
  <c r="Y124" i="75"/>
  <c r="Y128" i="75"/>
  <c r="Y129" i="75" s="1"/>
  <c r="L124" i="75"/>
  <c r="L128" i="75"/>
  <c r="L129" i="75" s="1"/>
  <c r="AG128" i="75"/>
  <c r="AG129" i="75" s="1"/>
  <c r="AG124" i="75"/>
  <c r="V124" i="75"/>
  <c r="V128" i="75"/>
  <c r="V129" i="75" s="1"/>
  <c r="F124" i="75"/>
  <c r="F128" i="75"/>
  <c r="F129" i="75" s="1"/>
  <c r="AF128" i="75"/>
  <c r="AF129" i="75" s="1"/>
  <c r="AF124" i="75"/>
  <c r="AH124" i="75"/>
  <c r="AH128" i="75"/>
  <c r="AH129" i="75" s="1"/>
  <c r="W124" i="75"/>
  <c r="W128" i="75"/>
  <c r="W129" i="75" s="1"/>
  <c r="AK128" i="75"/>
  <c r="AK129" i="75" s="1"/>
  <c r="AK124" i="75"/>
  <c r="AA128" i="75"/>
  <c r="AA129" i="75" s="1"/>
  <c r="AA124" i="75"/>
  <c r="K124" i="75"/>
  <c r="K128" i="75"/>
  <c r="K129" i="75" s="1"/>
  <c r="I124" i="75"/>
  <c r="I128" i="75"/>
  <c r="I129" i="75" s="1"/>
  <c r="Z124" i="75"/>
  <c r="Z128" i="75"/>
  <c r="Z129" i="75" s="1"/>
  <c r="AD124" i="75"/>
  <c r="AD128" i="75"/>
  <c r="AD129" i="75" s="1"/>
  <c r="AI124" i="75"/>
  <c r="AI128" i="75"/>
  <c r="AI129" i="75" s="1"/>
  <c r="D124" i="75"/>
  <c r="D128" i="75"/>
  <c r="D129" i="75" s="1"/>
  <c r="P128" i="75"/>
  <c r="P129" i="75" s="1"/>
  <c r="P124" i="75"/>
  <c r="E124" i="75"/>
  <c r="E128" i="75"/>
  <c r="E129" i="75" s="1"/>
  <c r="T128" i="75"/>
  <c r="T129" i="75" s="1"/>
  <c r="T124" i="75"/>
  <c r="N124" i="75"/>
  <c r="N128" i="75"/>
  <c r="N129" i="75" s="1"/>
  <c r="AC124" i="75"/>
  <c r="AC128" i="75"/>
  <c r="AC129" i="75" s="1"/>
  <c r="AE124" i="75"/>
  <c r="AE128" i="75"/>
  <c r="AE129" i="75" s="1"/>
  <c r="O124" i="75"/>
  <c r="O128" i="75"/>
  <c r="O129" i="75" s="1"/>
  <c r="Q124" i="75"/>
  <c r="Q128" i="75"/>
  <c r="Q129" i="75" s="1"/>
  <c r="U124" i="75"/>
  <c r="U128" i="75"/>
  <c r="U129" i="75" s="1"/>
  <c r="H124" i="75"/>
  <c r="H128" i="75"/>
  <c r="H129" i="75" s="1"/>
  <c r="R124" i="75"/>
  <c r="R128" i="75"/>
  <c r="R129" i="75" s="1"/>
  <c r="G124" i="75"/>
  <c r="G128" i="75"/>
  <c r="G129" i="75" s="1"/>
  <c r="AJ124" i="75"/>
  <c r="AJ128" i="75"/>
  <c r="AJ129" i="75" s="1"/>
  <c r="S124" i="75"/>
  <c r="S128" i="75"/>
  <c r="S129" i="75" s="1"/>
  <c r="C128" i="75"/>
  <c r="C129" i="75" s="1"/>
  <c r="C124" i="75"/>
  <c r="AB128" i="75"/>
  <c r="AB129" i="75" s="1"/>
  <c r="AB124" i="75"/>
  <c r="M128" i="75"/>
  <c r="M129" i="75" s="1"/>
  <c r="M124" i="75"/>
  <c r="J128" i="75"/>
  <c r="J129" i="75" s="1"/>
  <c r="J124" i="75"/>
  <c r="X124" i="75"/>
  <c r="X128" i="75"/>
  <c r="X129" i="75" s="1"/>
  <c r="CS76" i="6" l="1"/>
  <c r="CS77" i="6"/>
  <c r="E77" i="6"/>
  <c r="B77" i="6" s="1"/>
  <c r="C77" i="6" s="1"/>
  <c r="G125" i="75"/>
  <c r="G133" i="75" s="1"/>
  <c r="G132" i="75"/>
  <c r="O132" i="75"/>
  <c r="O125" i="75"/>
  <c r="O133" i="75" s="1"/>
  <c r="AE125" i="75"/>
  <c r="AE133" i="75" s="1"/>
  <c r="AE139" i="75" s="1"/>
  <c r="AE28" i="75" s="1"/>
  <c r="AE132" i="75"/>
  <c r="N132" i="75"/>
  <c r="N125" i="75"/>
  <c r="N133" i="75" s="1"/>
  <c r="T132" i="75"/>
  <c r="T125" i="75"/>
  <c r="T133" i="75" s="1"/>
  <c r="T139" i="75" s="1"/>
  <c r="T28" i="75" s="1"/>
  <c r="E132" i="75"/>
  <c r="E125" i="75"/>
  <c r="E133" i="75" s="1"/>
  <c r="W132" i="75"/>
  <c r="W125" i="75"/>
  <c r="W133" i="75" s="1"/>
  <c r="W139" i="75" s="1"/>
  <c r="W28" i="75" s="1"/>
  <c r="AF132" i="75"/>
  <c r="AF125" i="75"/>
  <c r="AF133" i="75" s="1"/>
  <c r="Y132" i="75"/>
  <c r="Y125" i="75"/>
  <c r="Y133" i="75" s="1"/>
  <c r="Y139" i="75" s="1"/>
  <c r="Y28" i="75" s="1"/>
  <c r="X132" i="75"/>
  <c r="X125" i="75"/>
  <c r="X133" i="75" s="1"/>
  <c r="J132" i="75"/>
  <c r="J125" i="75"/>
  <c r="J133" i="75" s="1"/>
  <c r="M132" i="75"/>
  <c r="M125" i="75"/>
  <c r="M133" i="75" s="1"/>
  <c r="AB132" i="75"/>
  <c r="AB125" i="75"/>
  <c r="AB133" i="75" s="1"/>
  <c r="C132" i="75"/>
  <c r="C125" i="75"/>
  <c r="C133" i="75" s="1"/>
  <c r="S132" i="75"/>
  <c r="S125" i="75"/>
  <c r="S133" i="75" s="1"/>
  <c r="AJ132" i="75"/>
  <c r="AJ125" i="75"/>
  <c r="AJ133" i="75" s="1"/>
  <c r="G139" i="75"/>
  <c r="G28" i="75" s="1"/>
  <c r="R132" i="75"/>
  <c r="R125" i="75"/>
  <c r="R133" i="75" s="1"/>
  <c r="R139" i="75" s="1"/>
  <c r="R28" i="75" s="1"/>
  <c r="H132" i="75"/>
  <c r="H125" i="75"/>
  <c r="H133" i="75" s="1"/>
  <c r="U132" i="75"/>
  <c r="U125" i="75"/>
  <c r="U133" i="75" s="1"/>
  <c r="Q132" i="75"/>
  <c r="Q125" i="75"/>
  <c r="Q133" i="75" s="1"/>
  <c r="Q139" i="75" s="1"/>
  <c r="Q28" i="75" s="1"/>
  <c r="AC132" i="75"/>
  <c r="AC125" i="75"/>
  <c r="AC133" i="75" s="1"/>
  <c r="N139" i="75"/>
  <c r="N28" i="75" s="1"/>
  <c r="P132" i="75"/>
  <c r="P125" i="75"/>
  <c r="P133" i="75" s="1"/>
  <c r="D132" i="75"/>
  <c r="D125" i="75"/>
  <c r="D133" i="75" s="1"/>
  <c r="AI132" i="75"/>
  <c r="AI125" i="75"/>
  <c r="AI133" i="75" s="1"/>
  <c r="AD132" i="75"/>
  <c r="AD125" i="75"/>
  <c r="AD133" i="75" s="1"/>
  <c r="Z132" i="75"/>
  <c r="Z125" i="75"/>
  <c r="Z133" i="75" s="1"/>
  <c r="I132" i="75"/>
  <c r="I125" i="75"/>
  <c r="I133" i="75" s="1"/>
  <c r="K132" i="75"/>
  <c r="K125" i="75"/>
  <c r="K133" i="75" s="1"/>
  <c r="AA132" i="75"/>
  <c r="AA125" i="75"/>
  <c r="AA133" i="75" s="1"/>
  <c r="AK132" i="75"/>
  <c r="AK125" i="75"/>
  <c r="AK133" i="75" s="1"/>
  <c r="AH132" i="75"/>
  <c r="AH125" i="75"/>
  <c r="AH133" i="75" s="1"/>
  <c r="AF139" i="75"/>
  <c r="AF28" i="75" s="1"/>
  <c r="F132" i="75"/>
  <c r="F125" i="75"/>
  <c r="F133" i="75" s="1"/>
  <c r="V132" i="75"/>
  <c r="V125" i="75"/>
  <c r="V133" i="75" s="1"/>
  <c r="AG132" i="75"/>
  <c r="AG125" i="75"/>
  <c r="AG133" i="75" s="1"/>
  <c r="L132" i="75"/>
  <c r="L125" i="75"/>
  <c r="L133" i="75" s="1"/>
  <c r="AJ135" i="75" l="1"/>
  <c r="AJ137" i="75" s="1"/>
  <c r="S135" i="75"/>
  <c r="S137" i="75" s="1"/>
  <c r="C135" i="75"/>
  <c r="C137" i="75" s="1"/>
  <c r="AB135" i="75"/>
  <c r="AB137" i="75" s="1"/>
  <c r="M135" i="75"/>
  <c r="M137" i="75" s="1"/>
  <c r="J135" i="75"/>
  <c r="J137" i="75" s="1"/>
  <c r="X135" i="75"/>
  <c r="X137" i="75" s="1"/>
  <c r="Y135" i="75"/>
  <c r="Y137" i="75" s="1"/>
  <c r="AF135" i="75"/>
  <c r="AF137" i="75" s="1"/>
  <c r="O135" i="75"/>
  <c r="O137" i="75" s="1"/>
  <c r="E78" i="6"/>
  <c r="B78" i="6" s="1"/>
  <c r="C78" i="6" s="1"/>
  <c r="L135" i="75"/>
  <c r="L137" i="75" s="1"/>
  <c r="V135" i="75"/>
  <c r="V137" i="75" s="1"/>
  <c r="F135" i="75"/>
  <c r="F137" i="75" s="1"/>
  <c r="AK135" i="75"/>
  <c r="AK137" i="75" s="1"/>
  <c r="AA135" i="75"/>
  <c r="AA137" i="75" s="1"/>
  <c r="K135" i="75"/>
  <c r="K137" i="75" s="1"/>
  <c r="I135" i="75"/>
  <c r="I137" i="75" s="1"/>
  <c r="Z135" i="75"/>
  <c r="Z137" i="75" s="1"/>
  <c r="AD135" i="75"/>
  <c r="AD137" i="75" s="1"/>
  <c r="AI135" i="75"/>
  <c r="AI137" i="75" s="1"/>
  <c r="D135" i="75"/>
  <c r="D137" i="75" s="1"/>
  <c r="P135" i="75"/>
  <c r="P137" i="75" s="1"/>
  <c r="AC135" i="75"/>
  <c r="AC137" i="75" s="1"/>
  <c r="G135" i="75"/>
  <c r="G137" i="75" s="1"/>
  <c r="AH138" i="75"/>
  <c r="AH27" i="75" s="1"/>
  <c r="AH134" i="75"/>
  <c r="AH136" i="75" s="1"/>
  <c r="AH26" i="75" s="1"/>
  <c r="L138" i="75"/>
  <c r="L27" i="75" s="1"/>
  <c r="L134" i="75"/>
  <c r="L136" i="75" s="1"/>
  <c r="L26" i="75" s="1"/>
  <c r="AG135" i="75"/>
  <c r="AG137" i="75" s="1"/>
  <c r="AG138" i="75"/>
  <c r="AG27" i="75" s="1"/>
  <c r="AG134" i="75"/>
  <c r="AG136" i="75" s="1"/>
  <c r="AG26" i="75" s="1"/>
  <c r="V138" i="75"/>
  <c r="V27" i="75" s="1"/>
  <c r="V134" i="75"/>
  <c r="V136" i="75" s="1"/>
  <c r="V26" i="75" s="1"/>
  <c r="F138" i="75"/>
  <c r="F27" i="75" s="1"/>
  <c r="F134" i="75"/>
  <c r="F136" i="75" s="1"/>
  <c r="F26" i="75" s="1"/>
  <c r="AH135" i="75"/>
  <c r="AH137" i="75" s="1"/>
  <c r="AK138" i="75"/>
  <c r="AK27" i="75" s="1"/>
  <c r="AK134" i="75"/>
  <c r="AK136" i="75" s="1"/>
  <c r="AK26" i="75" s="1"/>
  <c r="AA134" i="75"/>
  <c r="AA136" i="75" s="1"/>
  <c r="AA26" i="75" s="1"/>
  <c r="AA138" i="75"/>
  <c r="AA27" i="75" s="1"/>
  <c r="K138" i="75"/>
  <c r="K27" i="75" s="1"/>
  <c r="K134" i="75"/>
  <c r="K136" i="75" s="1"/>
  <c r="K26" i="75" s="1"/>
  <c r="I138" i="75"/>
  <c r="I27" i="75" s="1"/>
  <c r="I134" i="75"/>
  <c r="I136" i="75" s="1"/>
  <c r="I26" i="75" s="1"/>
  <c r="Z138" i="75"/>
  <c r="Z27" i="75" s="1"/>
  <c r="Z134" i="75"/>
  <c r="Z136" i="75" s="1"/>
  <c r="Z26" i="75" s="1"/>
  <c r="AD139" i="75"/>
  <c r="AD28" i="75" s="1"/>
  <c r="AD138" i="75"/>
  <c r="AD27" i="75" s="1"/>
  <c r="AD134" i="75"/>
  <c r="AD136" i="75" s="1"/>
  <c r="AD26" i="75" s="1"/>
  <c r="AI138" i="75"/>
  <c r="AI27" i="75" s="1"/>
  <c r="AI134" i="75"/>
  <c r="AI136" i="75" s="1"/>
  <c r="AI26" i="75" s="1"/>
  <c r="D138" i="75"/>
  <c r="D27" i="75" s="1"/>
  <c r="D134" i="75"/>
  <c r="D136" i="75" s="1"/>
  <c r="D26" i="75" s="1"/>
  <c r="P138" i="75"/>
  <c r="P27" i="75" s="1"/>
  <c r="P134" i="75"/>
  <c r="P136" i="75" s="1"/>
  <c r="P26" i="75" s="1"/>
  <c r="AC138" i="75"/>
  <c r="AC27" i="75" s="1"/>
  <c r="AC134" i="75"/>
  <c r="AC136" i="75" s="1"/>
  <c r="AC26" i="75" s="1"/>
  <c r="Q135" i="75"/>
  <c r="Q137" i="75" s="1"/>
  <c r="U135" i="75"/>
  <c r="U137" i="75" s="1"/>
  <c r="H135" i="75"/>
  <c r="H137" i="75" s="1"/>
  <c r="R135" i="75"/>
  <c r="R137" i="75" s="1"/>
  <c r="AJ138" i="75"/>
  <c r="AJ27" i="75" s="1"/>
  <c r="AJ134" i="75"/>
  <c r="AJ136" i="75" s="1"/>
  <c r="AJ26" i="75" s="1"/>
  <c r="S138" i="75"/>
  <c r="S27" i="75" s="1"/>
  <c r="S134" i="75"/>
  <c r="S136" i="75" s="1"/>
  <c r="S26" i="75" s="1"/>
  <c r="C138" i="75"/>
  <c r="C27" i="75" s="1"/>
  <c r="C134" i="75"/>
  <c r="C136" i="75" s="1"/>
  <c r="C26" i="75" s="1"/>
  <c r="AB138" i="75"/>
  <c r="AB27" i="75" s="1"/>
  <c r="AB134" i="75"/>
  <c r="AB136" i="75" s="1"/>
  <c r="AB26" i="75" s="1"/>
  <c r="M138" i="75"/>
  <c r="M27" i="75" s="1"/>
  <c r="M134" i="75"/>
  <c r="M136" i="75" s="1"/>
  <c r="M26" i="75" s="1"/>
  <c r="J138" i="75"/>
  <c r="J27" i="75" s="1"/>
  <c r="J134" i="75"/>
  <c r="J136" i="75" s="1"/>
  <c r="J26" i="75" s="1"/>
  <c r="X138" i="75"/>
  <c r="X27" i="75" s="1"/>
  <c r="X134" i="75"/>
  <c r="X136" i="75" s="1"/>
  <c r="X26" i="75" s="1"/>
  <c r="Y138" i="75"/>
  <c r="Y27" i="75" s="1"/>
  <c r="Y134" i="75"/>
  <c r="Y136" i="75" s="1"/>
  <c r="Y26" i="75" s="1"/>
  <c r="L139" i="75"/>
  <c r="L28" i="75" s="1"/>
  <c r="V139" i="75"/>
  <c r="V28" i="75" s="1"/>
  <c r="AF138" i="75"/>
  <c r="AF27" i="75" s="1"/>
  <c r="AF134" i="75"/>
  <c r="AF136" i="75" s="1"/>
  <c r="AF26" i="75" s="1"/>
  <c r="AH139" i="75"/>
  <c r="AH28" i="75" s="1"/>
  <c r="W135" i="75"/>
  <c r="W137" i="75" s="1"/>
  <c r="AA139" i="75"/>
  <c r="AA28" i="75" s="1"/>
  <c r="I139" i="75"/>
  <c r="I28" i="75" s="1"/>
  <c r="AI139" i="75"/>
  <c r="AI28" i="75" s="1"/>
  <c r="P139" i="75"/>
  <c r="P28" i="75" s="1"/>
  <c r="E135" i="75"/>
  <c r="E137" i="75" s="1"/>
  <c r="T135" i="75"/>
  <c r="T137" i="75" s="1"/>
  <c r="N135" i="75"/>
  <c r="N137" i="75" s="1"/>
  <c r="AE135" i="75"/>
  <c r="AE137" i="75" s="1"/>
  <c r="O139" i="75"/>
  <c r="O28" i="75" s="1"/>
  <c r="O138" i="75"/>
  <c r="O27" i="75" s="1"/>
  <c r="O134" i="75"/>
  <c r="O136" i="75" s="1"/>
  <c r="O26" i="75" s="1"/>
  <c r="G138" i="75"/>
  <c r="G27" i="75" s="1"/>
  <c r="G134" i="75"/>
  <c r="G136" i="75" s="1"/>
  <c r="G26" i="75" s="1"/>
  <c r="S139" i="75"/>
  <c r="S28" i="75" s="1"/>
  <c r="AB139" i="75"/>
  <c r="AB28" i="75" s="1"/>
  <c r="J139" i="75"/>
  <c r="J28" i="75" s="1"/>
  <c r="Q138" i="75"/>
  <c r="Q27" i="75" s="1"/>
  <c r="Q134" i="75"/>
  <c r="Q136" i="75" s="1"/>
  <c r="Q26" i="75" s="1"/>
  <c r="U138" i="75"/>
  <c r="U27" i="75" s="1"/>
  <c r="U134" i="75"/>
  <c r="U136" i="75" s="1"/>
  <c r="U26" i="75" s="1"/>
  <c r="H139" i="75"/>
  <c r="H28" i="75" s="1"/>
  <c r="H138" i="75"/>
  <c r="H27" i="75" s="1"/>
  <c r="H134" i="75"/>
  <c r="H136" i="75" s="1"/>
  <c r="H26" i="75" s="1"/>
  <c r="R138" i="75"/>
  <c r="R27" i="75" s="1"/>
  <c r="R134" i="75"/>
  <c r="R136" i="75" s="1"/>
  <c r="R26" i="75" s="1"/>
  <c r="AG139" i="75"/>
  <c r="AG28" i="75" s="1"/>
  <c r="F139" i="75"/>
  <c r="F28" i="75" s="1"/>
  <c r="W138" i="75"/>
  <c r="W27" i="75" s="1"/>
  <c r="W134" i="75"/>
  <c r="W136" i="75" s="1"/>
  <c r="W26" i="75" s="1"/>
  <c r="AK139" i="75"/>
  <c r="AK28" i="75" s="1"/>
  <c r="K139" i="75"/>
  <c r="K28" i="75" s="1"/>
  <c r="Z139" i="75"/>
  <c r="Z28" i="75" s="1"/>
  <c r="D139" i="75"/>
  <c r="D28" i="75" s="1"/>
  <c r="E139" i="75"/>
  <c r="E28" i="75" s="1"/>
  <c r="E138" i="75"/>
  <c r="E27" i="75" s="1"/>
  <c r="E134" i="75"/>
  <c r="E136" i="75" s="1"/>
  <c r="E26" i="75" s="1"/>
  <c r="T138" i="75"/>
  <c r="T27" i="75" s="1"/>
  <c r="T134" i="75"/>
  <c r="T136" i="75" s="1"/>
  <c r="T26" i="75" s="1"/>
  <c r="N138" i="75"/>
  <c r="N27" i="75" s="1"/>
  <c r="N134" i="75"/>
  <c r="N136" i="75" s="1"/>
  <c r="N26" i="75" s="1"/>
  <c r="AC139" i="75"/>
  <c r="AC28" i="75" s="1"/>
  <c r="AE138" i="75"/>
  <c r="AE27" i="75" s="1"/>
  <c r="AE134" i="75"/>
  <c r="AE136" i="75" s="1"/>
  <c r="AE26" i="75" s="1"/>
  <c r="U139" i="75"/>
  <c r="U28" i="75" s="1"/>
  <c r="AJ139" i="75"/>
  <c r="AJ28" i="75" s="1"/>
  <c r="C139" i="75"/>
  <c r="C28" i="75" s="1"/>
  <c r="M139" i="75"/>
  <c r="M28" i="75" s="1"/>
  <c r="X139" i="75"/>
  <c r="X28" i="75" s="1"/>
  <c r="CS78" i="6" l="1"/>
  <c r="E79" i="6"/>
  <c r="B79" i="6" s="1"/>
  <c r="C79" i="6" s="1"/>
  <c r="CS79" i="6" l="1"/>
  <c r="E80" i="6"/>
  <c r="B80" i="6" s="1"/>
  <c r="C80" i="6" s="1"/>
  <c r="CS80" i="6" l="1"/>
  <c r="E81" i="6"/>
  <c r="B81" i="6" l="1"/>
  <c r="C81" i="6" s="1"/>
  <c r="U9" i="6" s="1"/>
  <c r="CS81" i="6"/>
  <c r="V8" i="6" l="1"/>
  <c r="V12" i="6"/>
  <c r="S14" i="6"/>
  <c r="U22" i="6"/>
  <c r="V7" i="6"/>
  <c r="AB8" i="6" s="1"/>
  <c r="U8" i="6"/>
  <c r="T21" i="6"/>
  <c r="T17" i="6"/>
  <c r="V22" i="6"/>
  <c r="V16" i="6"/>
  <c r="V6" i="6"/>
  <c r="V4" i="6"/>
  <c r="U15" i="6"/>
  <c r="T8" i="6"/>
  <c r="T20" i="6"/>
  <c r="S8" i="6"/>
  <c r="U14" i="6"/>
  <c r="T19" i="6"/>
  <c r="S4" i="6"/>
  <c r="S22" i="6"/>
  <c r="T16" i="6"/>
  <c r="S15" i="6"/>
  <c r="S13" i="6"/>
  <c r="Y14" i="6" s="1"/>
  <c r="S18" i="6"/>
  <c r="U7" i="6"/>
  <c r="AA8" i="6" s="1"/>
  <c r="U21" i="6"/>
  <c r="S5" i="6"/>
  <c r="AA22" i="6"/>
  <c r="AI28" i="6" s="1"/>
  <c r="AA9" i="6"/>
  <c r="BJ39" i="6" s="1"/>
  <c r="V21" i="6"/>
  <c r="V13" i="6"/>
  <c r="V9" i="6"/>
  <c r="V3" i="6"/>
  <c r="AB3" i="6" s="1"/>
  <c r="BN39" i="6" s="1"/>
  <c r="V10" i="6"/>
  <c r="V11" i="6"/>
  <c r="AB11" i="6" s="1"/>
  <c r="V5" i="6"/>
  <c r="T9" i="6"/>
  <c r="Z9" i="6" s="1"/>
  <c r="S16" i="6"/>
  <c r="S21" i="6"/>
  <c r="Y22" i="6" s="1"/>
  <c r="AI30" i="6" s="1"/>
  <c r="AI66" i="6" s="1"/>
  <c r="S11" i="6"/>
  <c r="U6" i="6"/>
  <c r="AA7" i="6" s="1"/>
  <c r="T22" i="6"/>
  <c r="T5" i="6"/>
  <c r="T3" i="6"/>
  <c r="Z3" i="6" s="1"/>
  <c r="U18" i="6"/>
  <c r="U16" i="6"/>
  <c r="S9" i="6"/>
  <c r="T12" i="6"/>
  <c r="S7" i="6"/>
  <c r="Y8" i="6" s="1"/>
  <c r="S10" i="6"/>
  <c r="U20" i="6"/>
  <c r="U5" i="6"/>
  <c r="U11" i="6"/>
  <c r="S3" i="6"/>
  <c r="Y3" i="6" s="1"/>
  <c r="S19" i="6"/>
  <c r="T15" i="6"/>
  <c r="AB12" i="6"/>
  <c r="CD46" i="6" s="1"/>
  <c r="AB7" i="6"/>
  <c r="Z21" i="6"/>
  <c r="AH29" i="6" s="1"/>
  <c r="AB13" i="6"/>
  <c r="AB9" i="6"/>
  <c r="BU46" i="6"/>
  <c r="AG49" i="6" s="1"/>
  <c r="BK36" i="6"/>
  <c r="AK58" i="6" s="1"/>
  <c r="BI34" i="6"/>
  <c r="BG32" i="6"/>
  <c r="AB10" i="6"/>
  <c r="AB5" i="6"/>
  <c r="Y16" i="6"/>
  <c r="Y11" i="6"/>
  <c r="Z22" i="6"/>
  <c r="AI29" i="6" s="1"/>
  <c r="V35" i="6"/>
  <c r="AB41" i="6"/>
  <c r="U34" i="6"/>
  <c r="X37" i="6"/>
  <c r="Y38" i="6"/>
  <c r="S32" i="6"/>
  <c r="AD43" i="6"/>
  <c r="W36" i="6"/>
  <c r="W58" i="6" s="1"/>
  <c r="AF45" i="6"/>
  <c r="P29" i="6"/>
  <c r="AG46" i="6"/>
  <c r="Z39" i="6"/>
  <c r="AC42" i="6"/>
  <c r="AA40" i="6"/>
  <c r="AE44" i="6"/>
  <c r="T33" i="6"/>
  <c r="AA16" i="6"/>
  <c r="T11" i="6"/>
  <c r="S12" i="6"/>
  <c r="Y12" i="6" s="1"/>
  <c r="S20" i="6"/>
  <c r="U13" i="6"/>
  <c r="AA14" i="6" s="1"/>
  <c r="U17" i="6"/>
  <c r="AA17" i="6" s="1"/>
  <c r="U4" i="6"/>
  <c r="AA5" i="6" s="1"/>
  <c r="T13" i="6"/>
  <c r="Z13" i="6" s="1"/>
  <c r="T6" i="6"/>
  <c r="T4" i="6"/>
  <c r="Z4" i="6" s="1"/>
  <c r="U10" i="6"/>
  <c r="AA10" i="6" s="1"/>
  <c r="U3" i="6"/>
  <c r="AA3" i="6" s="1"/>
  <c r="T10" i="6"/>
  <c r="Z10" i="6" s="1"/>
  <c r="T14" i="6"/>
  <c r="Z14" i="6" s="1"/>
  <c r="U12" i="6"/>
  <c r="S17" i="6"/>
  <c r="Y17" i="6" s="1"/>
  <c r="T18" i="6"/>
  <c r="Z18" i="6" s="1"/>
  <c r="S6" i="6"/>
  <c r="Y6" i="6" s="1"/>
  <c r="T7" i="6"/>
  <c r="Z7" i="6" s="1"/>
  <c r="U19" i="6"/>
  <c r="AA19" i="6" s="1"/>
  <c r="Y15" i="6"/>
  <c r="Y9" i="6"/>
  <c r="Y13" i="6"/>
  <c r="Z12" i="6"/>
  <c r="Y10" i="6"/>
  <c r="Z17" i="6"/>
  <c r="AA21" i="6"/>
  <c r="AH28" i="6" s="1"/>
  <c r="P43" i="6"/>
  <c r="P34" i="6"/>
  <c r="P45" i="6"/>
  <c r="P35" i="6"/>
  <c r="P32" i="6"/>
  <c r="P38" i="6"/>
  <c r="P46" i="6"/>
  <c r="P40" i="6"/>
  <c r="P39" i="6"/>
  <c r="P30" i="6"/>
  <c r="P66" i="6" s="1"/>
  <c r="P41" i="6"/>
  <c r="P36" i="6"/>
  <c r="P58" i="6" s="1"/>
  <c r="P42" i="6"/>
  <c r="P37" i="6"/>
  <c r="P44" i="6"/>
  <c r="P33" i="6"/>
  <c r="Y19" i="6"/>
  <c r="Y5" i="6"/>
  <c r="V14" i="6"/>
  <c r="AB14" i="6" s="1"/>
  <c r="V19" i="6"/>
  <c r="V15" i="6"/>
  <c r="V18" i="6"/>
  <c r="V20" i="6"/>
  <c r="AB21" i="6" s="1"/>
  <c r="AH27" i="6" s="1"/>
  <c r="AH63" i="6" s="1"/>
  <c r="V17" i="6"/>
  <c r="AB17" i="6" s="1"/>
  <c r="AB22" i="6"/>
  <c r="AI27" i="6" s="1"/>
  <c r="AI63" i="6" s="1"/>
  <c r="AA12" i="6" l="1"/>
  <c r="Z6" i="6"/>
  <c r="AA6" i="6"/>
  <c r="BL37" i="6"/>
  <c r="BM38" i="6"/>
  <c r="P27" i="6"/>
  <c r="P63" i="6" s="1"/>
  <c r="BJ41" i="6"/>
  <c r="Y18" i="6"/>
  <c r="CA43" i="6"/>
  <c r="BT45" i="6"/>
  <c r="BJ44" i="6"/>
  <c r="Z16" i="6"/>
  <c r="AC29" i="6" s="1"/>
  <c r="BP41" i="6"/>
  <c r="BR43" i="6"/>
  <c r="BS44" i="6"/>
  <c r="BO40" i="6"/>
  <c r="BJ35" i="6"/>
  <c r="BQ42" i="6"/>
  <c r="BH33" i="6"/>
  <c r="BJ45" i="6"/>
  <c r="Z8" i="6"/>
  <c r="BX44" i="6"/>
  <c r="BP36" i="6"/>
  <c r="AP58" i="6" s="1"/>
  <c r="BU41" i="6"/>
  <c r="U27" i="6"/>
  <c r="U63" i="6" s="1"/>
  <c r="U69" i="6" s="1"/>
  <c r="BO35" i="6"/>
  <c r="BY45" i="6"/>
  <c r="BS39" i="6"/>
  <c r="BQ37" i="6"/>
  <c r="BT40" i="6"/>
  <c r="BW43" i="6"/>
  <c r="BZ46" i="6"/>
  <c r="AL49" i="6" s="1"/>
  <c r="AL64" i="6" s="1"/>
  <c r="AL76" i="6" s="1"/>
  <c r="BV42" i="6"/>
  <c r="BR38" i="6"/>
  <c r="BZ42" i="6"/>
  <c r="P50" i="6"/>
  <c r="P65" i="6" s="1"/>
  <c r="P71" i="6" s="1"/>
  <c r="Z20" i="6"/>
  <c r="AG29" i="6" s="1"/>
  <c r="Y20" i="6"/>
  <c r="AG30" i="6" s="1"/>
  <c r="AG66" i="6" s="1"/>
  <c r="BW39" i="6"/>
  <c r="BJ42" i="6"/>
  <c r="BJ38" i="6"/>
  <c r="V28" i="6"/>
  <c r="AB6" i="6"/>
  <c r="AA15" i="6"/>
  <c r="BI40" i="6"/>
  <c r="BI44" i="6"/>
  <c r="BI37" i="6"/>
  <c r="BI35" i="6"/>
  <c r="BI45" i="6"/>
  <c r="U28" i="6"/>
  <c r="BI46" i="6"/>
  <c r="BI39" i="6"/>
  <c r="BI36" i="6"/>
  <c r="BI38" i="6"/>
  <c r="BI43" i="6"/>
  <c r="BI42" i="6"/>
  <c r="BI41" i="6"/>
  <c r="AA46" i="6"/>
  <c r="AA44" i="6"/>
  <c r="AA45" i="6"/>
  <c r="AA30" i="6"/>
  <c r="AA66" i="6" s="1"/>
  <c r="AA78" i="6" s="1"/>
  <c r="AA42" i="6"/>
  <c r="AA41" i="6"/>
  <c r="AA43" i="6"/>
  <c r="BX40" i="6"/>
  <c r="BY41" i="6"/>
  <c r="AB15" i="6"/>
  <c r="AA20" i="6"/>
  <c r="AG28" i="6" s="1"/>
  <c r="AG64" i="6" s="1"/>
  <c r="P72" i="6"/>
  <c r="P78" i="6"/>
  <c r="P69" i="6"/>
  <c r="P75" i="6"/>
  <c r="AA72" i="6"/>
  <c r="AI72" i="6"/>
  <c r="AI78" i="6"/>
  <c r="AJ84" i="6" s="1"/>
  <c r="AJ89" i="6" s="1"/>
  <c r="V32" i="1" s="1"/>
  <c r="AI69" i="6"/>
  <c r="AI75" i="6"/>
  <c r="AJ81" i="6" s="1"/>
  <c r="AJ86" i="6" s="1"/>
  <c r="V29" i="1" s="1"/>
  <c r="AH69" i="6"/>
  <c r="AH75" i="6"/>
  <c r="AG72" i="6"/>
  <c r="AG78" i="6"/>
  <c r="U75" i="6"/>
  <c r="Z15" i="6"/>
  <c r="AB29" i="6" s="1"/>
  <c r="Y7" i="6"/>
  <c r="T37" i="6" s="1"/>
  <c r="Z19" i="6"/>
  <c r="AW46" i="6" s="1"/>
  <c r="AW50" i="6" s="1"/>
  <c r="AW65" i="6" s="1"/>
  <c r="AA11" i="6"/>
  <c r="Y27" i="6"/>
  <c r="Y63" i="6" s="1"/>
  <c r="CC45" i="6"/>
  <c r="CB44" i="6"/>
  <c r="BJ46" i="6"/>
  <c r="BJ43" i="6"/>
  <c r="BJ37" i="6"/>
  <c r="BJ40" i="6"/>
  <c r="BJ36" i="6"/>
  <c r="AJ58" i="6" s="1"/>
  <c r="BP38" i="6"/>
  <c r="BL34" i="6"/>
  <c r="BO37" i="6"/>
  <c r="BX46" i="6"/>
  <c r="AJ49" i="6" s="1"/>
  <c r="AJ64" i="6" s="1"/>
  <c r="AJ76" i="6" s="1"/>
  <c r="S27" i="6"/>
  <c r="S63" i="6" s="1"/>
  <c r="BT42" i="6"/>
  <c r="BW45" i="6"/>
  <c r="BS41" i="6"/>
  <c r="BN36" i="6"/>
  <c r="AN58" i="6" s="1"/>
  <c r="BV44" i="6"/>
  <c r="BU43" i="6"/>
  <c r="BR40" i="6"/>
  <c r="BK33" i="6"/>
  <c r="BQ39" i="6"/>
  <c r="BM35" i="6"/>
  <c r="U43" i="6"/>
  <c r="U37" i="6"/>
  <c r="U35" i="6"/>
  <c r="U44" i="6"/>
  <c r="U41" i="6"/>
  <c r="U46" i="6"/>
  <c r="U36" i="6"/>
  <c r="U58" i="6" s="1"/>
  <c r="U40" i="6"/>
  <c r="U39" i="6"/>
  <c r="U30" i="6"/>
  <c r="U66" i="6" s="1"/>
  <c r="U42" i="6"/>
  <c r="U45" i="6"/>
  <c r="U38" i="6"/>
  <c r="BH36" i="6"/>
  <c r="AH58" i="6" s="1"/>
  <c r="BH42" i="6"/>
  <c r="BH41" i="6"/>
  <c r="BH46" i="6"/>
  <c r="BH37" i="6"/>
  <c r="BH44" i="6"/>
  <c r="BH39" i="6"/>
  <c r="BH38" i="6"/>
  <c r="BH43" i="6"/>
  <c r="BH40" i="6"/>
  <c r="BH45" i="6"/>
  <c r="T28" i="6"/>
  <c r="BH35" i="6"/>
  <c r="BH34" i="6"/>
  <c r="AB4" i="6"/>
  <c r="Y4" i="6"/>
  <c r="CI46" i="6"/>
  <c r="AD27" i="6"/>
  <c r="AD63" i="6" s="1"/>
  <c r="CG44" i="6"/>
  <c r="CH45" i="6"/>
  <c r="AB18" i="6"/>
  <c r="AB19" i="6"/>
  <c r="AR45" i="6"/>
  <c r="AP43" i="6"/>
  <c r="AF30" i="6"/>
  <c r="AF66" i="6" s="1"/>
  <c r="AF46" i="6"/>
  <c r="AF50" i="6" s="1"/>
  <c r="AT45" i="6"/>
  <c r="AS44" i="6"/>
  <c r="AD29" i="6"/>
  <c r="AU46" i="6"/>
  <c r="AU50" i="6" s="1"/>
  <c r="AU65" i="6" s="1"/>
  <c r="W46" i="6"/>
  <c r="W50" i="6" s="1"/>
  <c r="W38" i="6"/>
  <c r="W45" i="6"/>
  <c r="W43" i="6"/>
  <c r="W39" i="6"/>
  <c r="W40" i="6"/>
  <c r="W42" i="6"/>
  <c r="W30" i="6"/>
  <c r="W66" i="6" s="1"/>
  <c r="W44" i="6"/>
  <c r="W41" i="6"/>
  <c r="W37" i="6"/>
  <c r="T30" i="6"/>
  <c r="T66" i="6" s="1"/>
  <c r="T46" i="6"/>
  <c r="T41" i="6"/>
  <c r="T36" i="6"/>
  <c r="T58" i="6" s="1"/>
  <c r="T42" i="6"/>
  <c r="T40" i="6"/>
  <c r="Z46" i="6"/>
  <c r="Z40" i="6"/>
  <c r="Z45" i="6"/>
  <c r="Z43" i="6"/>
  <c r="Z30" i="6"/>
  <c r="Z66" i="6" s="1"/>
  <c r="Z44" i="6"/>
  <c r="Z42" i="6"/>
  <c r="Z41" i="6"/>
  <c r="AB30" i="6"/>
  <c r="AB66" i="6" s="1"/>
  <c r="AB46" i="6"/>
  <c r="AB44" i="6"/>
  <c r="AB45" i="6"/>
  <c r="AB43" i="6"/>
  <c r="AB42" i="6"/>
  <c r="AB36" i="6"/>
  <c r="AB58" i="6" s="1"/>
  <c r="AH42" i="6"/>
  <c r="AK45" i="6"/>
  <c r="AA35" i="6"/>
  <c r="AF40" i="6"/>
  <c r="AE39" i="6"/>
  <c r="AC37" i="6"/>
  <c r="U29" i="6"/>
  <c r="AG41" i="6"/>
  <c r="AJ44" i="6"/>
  <c r="AD38" i="6"/>
  <c r="AI43" i="6"/>
  <c r="AL46" i="6"/>
  <c r="AL50" i="6" s="1"/>
  <c r="AL65" i="6" s="1"/>
  <c r="AJ70" i="6"/>
  <c r="AB16" i="6"/>
  <c r="AK46" i="6"/>
  <c r="Z35" i="6"/>
  <c r="AB37" i="6"/>
  <c r="AC38" i="6"/>
  <c r="AG42" i="6"/>
  <c r="Y34" i="6"/>
  <c r="AH43" i="6"/>
  <c r="AA36" i="6"/>
  <c r="AA58" i="6" s="1"/>
  <c r="AF41" i="6"/>
  <c r="AE40" i="6"/>
  <c r="AJ45" i="6"/>
  <c r="AD39" i="6"/>
  <c r="AI44" i="6"/>
  <c r="T29" i="6"/>
  <c r="AE29" i="6"/>
  <c r="AU45" i="6"/>
  <c r="AV46" i="6"/>
  <c r="AV50" i="6" s="1"/>
  <c r="AV65" i="6" s="1"/>
  <c r="BM40" i="6"/>
  <c r="BM42" i="6"/>
  <c r="BM44" i="6"/>
  <c r="Y28" i="6"/>
  <c r="BM45" i="6"/>
  <c r="BM41" i="6"/>
  <c r="BM43" i="6"/>
  <c r="BM46" i="6"/>
  <c r="BM39" i="6"/>
  <c r="AK43" i="6"/>
  <c r="AM45" i="6"/>
  <c r="AN46" i="6"/>
  <c r="AN50" i="6" s="1"/>
  <c r="AN65" i="6" s="1"/>
  <c r="AG39" i="6"/>
  <c r="AI41" i="6"/>
  <c r="AE37" i="6"/>
  <c r="AL44" i="6"/>
  <c r="AH40" i="6"/>
  <c r="AF38" i="6"/>
  <c r="W29" i="6"/>
  <c r="AJ42" i="6"/>
  <c r="BK43" i="6"/>
  <c r="BK37" i="6"/>
  <c r="BK39" i="6"/>
  <c r="BK44" i="6"/>
  <c r="BK40" i="6"/>
  <c r="BK45" i="6"/>
  <c r="W28" i="6"/>
  <c r="BK38" i="6"/>
  <c r="BK41" i="6"/>
  <c r="BK42" i="6"/>
  <c r="BK46" i="6"/>
  <c r="W49" i="6" s="1"/>
  <c r="W64" i="6" s="1"/>
  <c r="AJ46" i="6"/>
  <c r="AJ50" i="6" s="1"/>
  <c r="AJ65" i="6" s="1"/>
  <c r="AG43" i="6"/>
  <c r="Z36" i="6"/>
  <c r="Z58" i="6" s="1"/>
  <c r="AB38" i="6"/>
  <c r="W33" i="6"/>
  <c r="S29" i="6"/>
  <c r="AA37" i="6"/>
  <c r="AI45" i="6"/>
  <c r="AF42" i="6"/>
  <c r="Y35" i="6"/>
  <c r="AH44" i="6"/>
  <c r="AD40" i="6"/>
  <c r="X34" i="6"/>
  <c r="AC39" i="6"/>
  <c r="AE41" i="6"/>
  <c r="AA4" i="6"/>
  <c r="AA13" i="6"/>
  <c r="Y45" i="6"/>
  <c r="Y42" i="6"/>
  <c r="Y30" i="6"/>
  <c r="Y66" i="6" s="1"/>
  <c r="Y39" i="6"/>
  <c r="Y41" i="6"/>
  <c r="Y46" i="6"/>
  <c r="Y43" i="6"/>
  <c r="Y40" i="6"/>
  <c r="Y44" i="6"/>
  <c r="BQ44" i="6"/>
  <c r="AC28" i="6"/>
  <c r="BQ46" i="6"/>
  <c r="BQ43" i="6"/>
  <c r="BQ45" i="6"/>
  <c r="Z5" i="6"/>
  <c r="BG37" i="6"/>
  <c r="BG40" i="6"/>
  <c r="BG44" i="6"/>
  <c r="BG41" i="6"/>
  <c r="BG36" i="6"/>
  <c r="AG58" i="6" s="1"/>
  <c r="BG46" i="6"/>
  <c r="BG45" i="6"/>
  <c r="BG38" i="6"/>
  <c r="BG39" i="6"/>
  <c r="BG43" i="6"/>
  <c r="BG34" i="6"/>
  <c r="BG33" i="6"/>
  <c r="BG42" i="6"/>
  <c r="BG35" i="6"/>
  <c r="S28" i="6"/>
  <c r="Y21" i="6"/>
  <c r="AH30" i="6" s="1"/>
  <c r="AH66" i="6" s="1"/>
  <c r="AM46" i="6"/>
  <c r="AG40" i="6"/>
  <c r="AC36" i="6"/>
  <c r="AC58" i="6" s="1"/>
  <c r="V29" i="6"/>
  <c r="AF39" i="6"/>
  <c r="AE38" i="6"/>
  <c r="AJ43" i="6"/>
  <c r="AI42" i="6"/>
  <c r="AL45" i="6"/>
  <c r="AD37" i="6"/>
  <c r="AH41" i="6"/>
  <c r="AK44" i="6"/>
  <c r="X27" i="6"/>
  <c r="X63" i="6" s="1"/>
  <c r="CC46" i="6"/>
  <c r="AO49" i="6" s="1"/>
  <c r="AO64" i="6" s="1"/>
  <c r="BX41" i="6"/>
  <c r="CA44" i="6"/>
  <c r="BW40" i="6"/>
  <c r="CB45" i="6"/>
  <c r="BU38" i="6"/>
  <c r="BV39" i="6"/>
  <c r="BZ43" i="6"/>
  <c r="BY42" i="6"/>
  <c r="CA46" i="6"/>
  <c r="BW42" i="6"/>
  <c r="BR37" i="6"/>
  <c r="BS38" i="6"/>
  <c r="BQ36" i="6"/>
  <c r="AQ58" i="6" s="1"/>
  <c r="BT39" i="6"/>
  <c r="BZ45" i="6"/>
  <c r="BU40" i="6"/>
  <c r="BX43" i="6"/>
  <c r="BV41" i="6"/>
  <c r="BY44" i="6"/>
  <c r="V27" i="6"/>
  <c r="V63" i="6" s="1"/>
  <c r="BR39" i="6"/>
  <c r="BM34" i="6"/>
  <c r="AI58" i="6" s="1"/>
  <c r="BN35" i="6"/>
  <c r="BY46" i="6"/>
  <c r="AK49" i="6" s="1"/>
  <c r="AK64" i="6" s="1"/>
  <c r="BT41" i="6"/>
  <c r="BU42" i="6"/>
  <c r="BV43" i="6"/>
  <c r="BO36" i="6"/>
  <c r="AO58" i="6" s="1"/>
  <c r="BW44" i="6"/>
  <c r="BX45" i="6"/>
  <c r="T27" i="6"/>
  <c r="T63" i="6" s="1"/>
  <c r="BS40" i="6"/>
  <c r="BQ38" i="6"/>
  <c r="BP37" i="6"/>
  <c r="AB20" i="6"/>
  <c r="AG27" i="6" s="1"/>
  <c r="AG63" i="6" s="1"/>
  <c r="CG46" i="6"/>
  <c r="AS49" i="6" s="1"/>
  <c r="AS64" i="6" s="1"/>
  <c r="CF45" i="6"/>
  <c r="CC42" i="6"/>
  <c r="CD43" i="6"/>
  <c r="AB27" i="6"/>
  <c r="AB63" i="6" s="1"/>
  <c r="CE44" i="6"/>
  <c r="CB42" i="6"/>
  <c r="CE45" i="6"/>
  <c r="CA41" i="6"/>
  <c r="CC43" i="6"/>
  <c r="AA27" i="6"/>
  <c r="AA63" i="6" s="1"/>
  <c r="CD44" i="6"/>
  <c r="CF46" i="6"/>
  <c r="AR49" i="6" s="1"/>
  <c r="AR64" i="6" s="1"/>
  <c r="R32" i="6"/>
  <c r="R41" i="6"/>
  <c r="R46" i="6"/>
  <c r="R38" i="6"/>
  <c r="R36" i="6"/>
  <c r="R58" i="6" s="1"/>
  <c r="R45" i="6"/>
  <c r="R39" i="6"/>
  <c r="R37" i="6"/>
  <c r="R42" i="6"/>
  <c r="R30" i="6"/>
  <c r="R66" i="6" s="1"/>
  <c r="R43" i="6"/>
  <c r="R35" i="6"/>
  <c r="R34" i="6"/>
  <c r="R33" i="6"/>
  <c r="R40" i="6"/>
  <c r="R44" i="6"/>
  <c r="AF29" i="6"/>
  <c r="X28" i="6"/>
  <c r="BL42" i="6"/>
  <c r="BL41" i="6"/>
  <c r="BL46" i="6"/>
  <c r="BL38" i="6"/>
  <c r="BL39" i="6"/>
  <c r="BL45" i="6"/>
  <c r="BL44" i="6"/>
  <c r="BL40" i="6"/>
  <c r="BL43" i="6"/>
  <c r="BF44" i="6"/>
  <c r="BF33" i="6"/>
  <c r="BF35" i="6"/>
  <c r="BF42" i="6"/>
  <c r="BF36" i="6"/>
  <c r="BF37" i="6"/>
  <c r="BF46" i="6"/>
  <c r="R49" i="6" s="1"/>
  <c r="BF32" i="6"/>
  <c r="BF41" i="6"/>
  <c r="BF40" i="6"/>
  <c r="BF45" i="6"/>
  <c r="BF39" i="6"/>
  <c r="BF38" i="6"/>
  <c r="BF43" i="6"/>
  <c r="R28" i="6"/>
  <c r="BF34" i="6"/>
  <c r="BO46" i="6"/>
  <c r="AA28" i="6"/>
  <c r="BO42" i="6"/>
  <c r="BO41" i="6"/>
  <c r="BO45" i="6"/>
  <c r="BO44" i="6"/>
  <c r="BO43" i="6"/>
  <c r="AE30" i="6"/>
  <c r="AE66" i="6" s="1"/>
  <c r="AE45" i="6"/>
  <c r="AE46" i="6"/>
  <c r="AE50" i="6" s="1"/>
  <c r="AE65" i="6" s="1"/>
  <c r="Y29" i="6"/>
  <c r="AP46" i="6"/>
  <c r="AM43" i="6"/>
  <c r="AN44" i="6"/>
  <c r="AK41" i="6"/>
  <c r="AO45" i="6"/>
  <c r="AJ40" i="6"/>
  <c r="AI39" i="6"/>
  <c r="AL42" i="6"/>
  <c r="V38" i="6"/>
  <c r="V42" i="6"/>
  <c r="V39" i="6"/>
  <c r="V36" i="6"/>
  <c r="V58" i="6" s="1"/>
  <c r="V30" i="6"/>
  <c r="V66" i="6" s="1"/>
  <c r="V44" i="6"/>
  <c r="V40" i="6"/>
  <c r="V46" i="6"/>
  <c r="V50" i="6" s="1"/>
  <c r="V65" i="6" s="1"/>
  <c r="V37" i="6"/>
  <c r="V45" i="6"/>
  <c r="V41" i="6"/>
  <c r="V43" i="6"/>
  <c r="AS50" i="6"/>
  <c r="AS65" i="6" s="1"/>
  <c r="AF28" i="6"/>
  <c r="BT46" i="6"/>
  <c r="AF49" i="6" s="1"/>
  <c r="S40" i="6"/>
  <c r="S45" i="6"/>
  <c r="S38" i="6"/>
  <c r="S34" i="6"/>
  <c r="S44" i="6"/>
  <c r="S36" i="6"/>
  <c r="S58" i="6" s="1"/>
  <c r="S41" i="6"/>
  <c r="S30" i="6"/>
  <c r="S66" i="6" s="1"/>
  <c r="S37" i="6"/>
  <c r="S43" i="6"/>
  <c r="S39" i="6"/>
  <c r="S42" i="6"/>
  <c r="S33" i="6"/>
  <c r="S46" i="6"/>
  <c r="S50" i="6" s="1"/>
  <c r="S65" i="6" s="1"/>
  <c r="S35" i="6"/>
  <c r="AD30" i="6"/>
  <c r="AD66" i="6" s="1"/>
  <c r="AD45" i="6"/>
  <c r="AD44" i="6"/>
  <c r="AD46" i="6"/>
  <c r="AD50" i="6" s="1"/>
  <c r="AD65" i="6" s="1"/>
  <c r="AR46" i="6"/>
  <c r="AR50" i="6" s="1"/>
  <c r="AR65" i="6" s="1"/>
  <c r="AQ45" i="6"/>
  <c r="AO43" i="6"/>
  <c r="AP44" i="6"/>
  <c r="AM41" i="6"/>
  <c r="AN42" i="6"/>
  <c r="AA29" i="6"/>
  <c r="BD45" i="6"/>
  <c r="BD34" i="6"/>
  <c r="BD39" i="6"/>
  <c r="BD36" i="6"/>
  <c r="AD58" i="6" s="1"/>
  <c r="BD43" i="6"/>
  <c r="BD46" i="6"/>
  <c r="P49" i="6" s="1"/>
  <c r="BD42" i="6"/>
  <c r="P28" i="6"/>
  <c r="BD32" i="6"/>
  <c r="BD33" i="6"/>
  <c r="BD41" i="6"/>
  <c r="BD44" i="6"/>
  <c r="BD38" i="6"/>
  <c r="BD37" i="6"/>
  <c r="BD40" i="6"/>
  <c r="BD35" i="6"/>
  <c r="Y37" i="6"/>
  <c r="AE43" i="6"/>
  <c r="AH46" i="6"/>
  <c r="AG45" i="6"/>
  <c r="AC41" i="6"/>
  <c r="Q29" i="6"/>
  <c r="T32" i="6"/>
  <c r="AA39" i="6"/>
  <c r="V34" i="6"/>
  <c r="AF44" i="6"/>
  <c r="AD42" i="6"/>
  <c r="AB40" i="6"/>
  <c r="X36" i="6"/>
  <c r="X58" i="6" s="1"/>
  <c r="Z38" i="6"/>
  <c r="W35" i="6"/>
  <c r="U33" i="6"/>
  <c r="Z29" i="6"/>
  <c r="AL41" i="6"/>
  <c r="AM42" i="6"/>
  <c r="AP45" i="6"/>
  <c r="AP50" i="6" s="1"/>
  <c r="AP65" i="6" s="1"/>
  <c r="AK40" i="6"/>
  <c r="AQ46" i="6"/>
  <c r="AQ50" i="6" s="1"/>
  <c r="AQ65" i="6" s="1"/>
  <c r="AN43" i="6"/>
  <c r="AO44" i="6"/>
  <c r="BR44" i="6"/>
  <c r="BR45" i="6"/>
  <c r="BR46" i="6"/>
  <c r="AD49" i="6" s="1"/>
  <c r="AD28" i="6"/>
  <c r="Z11" i="6"/>
  <c r="AA18" i="6"/>
  <c r="X44" i="6"/>
  <c r="X41" i="6"/>
  <c r="X46" i="6"/>
  <c r="X50" i="6" s="1"/>
  <c r="X39" i="6"/>
  <c r="X38" i="6"/>
  <c r="X43" i="6"/>
  <c r="X40" i="6"/>
  <c r="X45" i="6"/>
  <c r="X30" i="6"/>
  <c r="X66" i="6" s="1"/>
  <c r="X42" i="6"/>
  <c r="AC46" i="6"/>
  <c r="AC50" i="6" s="1"/>
  <c r="AC65" i="6" s="1"/>
  <c r="AC43" i="6"/>
  <c r="AC45" i="6"/>
  <c r="AC30" i="6"/>
  <c r="AC66" i="6" s="1"/>
  <c r="AC44" i="6"/>
  <c r="BT43" i="6"/>
  <c r="BP39" i="6"/>
  <c r="BL35" i="6"/>
  <c r="BI32" i="6"/>
  <c r="BW46" i="6"/>
  <c r="AI49" i="6" s="1"/>
  <c r="AI64" i="6" s="1"/>
  <c r="BV45" i="6"/>
  <c r="BJ33" i="6"/>
  <c r="BS42" i="6"/>
  <c r="R27" i="6"/>
  <c r="R63" i="6" s="1"/>
  <c r="BO38" i="6"/>
  <c r="BQ40" i="6"/>
  <c r="BN37" i="6"/>
  <c r="BM36" i="6"/>
  <c r="AM58" i="6" s="1"/>
  <c r="BK34" i="6"/>
  <c r="BR41" i="6"/>
  <c r="BU44" i="6"/>
  <c r="W27" i="6"/>
  <c r="W63" i="6" s="1"/>
  <c r="BU39" i="6"/>
  <c r="CA45" i="6"/>
  <c r="AM49" i="6" s="1"/>
  <c r="AM64" i="6" s="1"/>
  <c r="BZ44" i="6"/>
  <c r="BT38" i="6"/>
  <c r="BW41" i="6"/>
  <c r="CB46" i="6"/>
  <c r="AN49" i="6" s="1"/>
  <c r="AN64" i="6" s="1"/>
  <c r="BY43" i="6"/>
  <c r="BS37" i="6"/>
  <c r="BV40" i="6"/>
  <c r="BX42" i="6"/>
  <c r="CC44" i="6"/>
  <c r="CD45" i="6"/>
  <c r="AP49" i="6" s="1"/>
  <c r="AP64" i="6" s="1"/>
  <c r="CA42" i="6"/>
  <c r="CE46" i="6"/>
  <c r="AQ49" i="6" s="1"/>
  <c r="AQ64" i="6" s="1"/>
  <c r="Z27" i="6"/>
  <c r="Z63" i="6" s="1"/>
  <c r="BY40" i="6"/>
  <c r="BZ41" i="6"/>
  <c r="CB43" i="6"/>
  <c r="AQ44" i="6" l="1"/>
  <c r="P77" i="6"/>
  <c r="P83" i="6" s="1"/>
  <c r="P88" i="6" s="1"/>
  <c r="B31" i="1" s="1"/>
  <c r="AL70" i="6"/>
  <c r="AI81" i="6"/>
  <c r="AI86" i="6" s="1"/>
  <c r="U29" i="1" s="1"/>
  <c r="T44" i="6"/>
  <c r="T45" i="6"/>
  <c r="T43" i="6"/>
  <c r="T39" i="6"/>
  <c r="T35" i="6"/>
  <c r="T38" i="6"/>
  <c r="T34" i="6"/>
  <c r="AR44" i="6"/>
  <c r="AS46" i="6"/>
  <c r="AO42" i="6"/>
  <c r="AQ43" i="6"/>
  <c r="AA49" i="6"/>
  <c r="AA64" i="6" s="1"/>
  <c r="AS45" i="6"/>
  <c r="AT46" i="6"/>
  <c r="AT50" i="6" s="1"/>
  <c r="AT65" i="6" s="1"/>
  <c r="AG76" i="6"/>
  <c r="AG70" i="6"/>
  <c r="S49" i="6"/>
  <c r="S64" i="6" s="1"/>
  <c r="AB50" i="6"/>
  <c r="AB65" i="6" s="1"/>
  <c r="U50" i="6"/>
  <c r="U65" i="6" s="1"/>
  <c r="BP46" i="6"/>
  <c r="AB49" i="6" s="1"/>
  <c r="BP42" i="6"/>
  <c r="AB28" i="6"/>
  <c r="AB64" i="6" s="1"/>
  <c r="BP44" i="6"/>
  <c r="BP45" i="6"/>
  <c r="BP43" i="6"/>
  <c r="AD64" i="6"/>
  <c r="AD70" i="6" s="1"/>
  <c r="R50" i="6"/>
  <c r="AC49" i="6"/>
  <c r="AC64" i="6" s="1"/>
  <c r="Y49" i="6"/>
  <c r="Y64" i="6" s="1"/>
  <c r="Y76" i="6" s="1"/>
  <c r="Z50" i="6"/>
  <c r="Z65" i="6" s="1"/>
  <c r="T49" i="6"/>
  <c r="T64" i="6" s="1"/>
  <c r="V49" i="6"/>
  <c r="V64" i="6" s="1"/>
  <c r="AA50" i="6"/>
  <c r="AA65" i="6" s="1"/>
  <c r="T50" i="6"/>
  <c r="T65" i="6" s="1"/>
  <c r="U49" i="6"/>
  <c r="U64" i="6" s="1"/>
  <c r="R64" i="6"/>
  <c r="AF65" i="6"/>
  <c r="AF71" i="6" s="1"/>
  <c r="P64" i="6"/>
  <c r="P70" i="6" s="1"/>
  <c r="AF64" i="6"/>
  <c r="AF70" i="6" s="1"/>
  <c r="W65" i="6"/>
  <c r="W77" i="6" s="1"/>
  <c r="Z69" i="6"/>
  <c r="Z75" i="6"/>
  <c r="X72" i="6"/>
  <c r="X78" i="6"/>
  <c r="AG69" i="6"/>
  <c r="AG75" i="6"/>
  <c r="AH81" i="6" s="1"/>
  <c r="AH86" i="6" s="1"/>
  <c r="T29" i="1" s="1"/>
  <c r="T69" i="6"/>
  <c r="T75" i="6"/>
  <c r="U81" i="6" s="1"/>
  <c r="U86" i="6" s="1"/>
  <c r="G29" i="1" s="1"/>
  <c r="X69" i="6"/>
  <c r="X75" i="6"/>
  <c r="AB72" i="6"/>
  <c r="AB78" i="6"/>
  <c r="AB84" i="6" s="1"/>
  <c r="AB89" i="6" s="1"/>
  <c r="N32" i="1" s="1"/>
  <c r="Z72" i="6"/>
  <c r="Z78" i="6"/>
  <c r="W72" i="6"/>
  <c r="W78" i="6"/>
  <c r="X84" i="6" s="1"/>
  <c r="X89" i="6" s="1"/>
  <c r="J32" i="1" s="1"/>
  <c r="AD69" i="6"/>
  <c r="AD75" i="6"/>
  <c r="P81" i="6"/>
  <c r="P86" i="6" s="1"/>
  <c r="B29" i="1" s="1"/>
  <c r="P84" i="6"/>
  <c r="P89" i="6" s="1"/>
  <c r="B32" i="1" s="1"/>
  <c r="W69" i="6"/>
  <c r="W75" i="6"/>
  <c r="R69" i="6"/>
  <c r="R75" i="6"/>
  <c r="AC72" i="6"/>
  <c r="AC78" i="6"/>
  <c r="AD72" i="6"/>
  <c r="AD78" i="6"/>
  <c r="S72" i="6"/>
  <c r="S78" i="6"/>
  <c r="V72" i="6"/>
  <c r="V78" i="6"/>
  <c r="AE72" i="6"/>
  <c r="AE78" i="6"/>
  <c r="R72" i="6"/>
  <c r="R78" i="6"/>
  <c r="AA69" i="6"/>
  <c r="AA75" i="6"/>
  <c r="AB69" i="6"/>
  <c r="AB75" i="6"/>
  <c r="V69" i="6"/>
  <c r="V75" i="6"/>
  <c r="V81" i="6" s="1"/>
  <c r="V86" i="6" s="1"/>
  <c r="H29" i="1" s="1"/>
  <c r="AH72" i="6"/>
  <c r="AH78" i="6"/>
  <c r="AI84" i="6" s="1"/>
  <c r="AI89" i="6" s="1"/>
  <c r="U32" i="1" s="1"/>
  <c r="Y72" i="6"/>
  <c r="Y78" i="6"/>
  <c r="T72" i="6"/>
  <c r="T78" i="6"/>
  <c r="AF72" i="6"/>
  <c r="AF78" i="6"/>
  <c r="AG84" i="6" s="1"/>
  <c r="AG89" i="6" s="1"/>
  <c r="S32" i="1" s="1"/>
  <c r="U72" i="6"/>
  <c r="U78" i="6"/>
  <c r="V84" i="6" s="1"/>
  <c r="V89" i="6" s="1"/>
  <c r="H32" i="1" s="1"/>
  <c r="S69" i="6"/>
  <c r="S75" i="6"/>
  <c r="T81" i="6" s="1"/>
  <c r="T86" i="6" s="1"/>
  <c r="F29" i="1" s="1"/>
  <c r="Y69" i="6"/>
  <c r="Y75" i="6"/>
  <c r="Q32" i="6"/>
  <c r="Q45" i="6"/>
  <c r="Q37" i="6"/>
  <c r="Q36" i="6"/>
  <c r="Q58" i="6" s="1"/>
  <c r="Q35" i="6"/>
  <c r="Q34" i="6"/>
  <c r="Q33" i="6"/>
  <c r="Q38" i="6"/>
  <c r="Q46" i="6"/>
  <c r="Q41" i="6"/>
  <c r="Q40" i="6"/>
  <c r="Q39" i="6"/>
  <c r="Q44" i="6"/>
  <c r="Q42" i="6"/>
  <c r="Q30" i="6"/>
  <c r="Q66" i="6" s="1"/>
  <c r="Q43" i="6"/>
  <c r="BS43" i="6"/>
  <c r="BN38" i="6"/>
  <c r="BI33" i="6"/>
  <c r="BJ34" i="6"/>
  <c r="AF58" i="6" s="1"/>
  <c r="BV46" i="6"/>
  <c r="AH49" i="6" s="1"/>
  <c r="AH64" i="6" s="1"/>
  <c r="Q27" i="6"/>
  <c r="Q63" i="6" s="1"/>
  <c r="BQ41" i="6"/>
  <c r="BL36" i="6"/>
  <c r="AL58" i="6" s="1"/>
  <c r="BH32" i="6"/>
  <c r="BT44" i="6"/>
  <c r="BU45" i="6"/>
  <c r="BM37" i="6"/>
  <c r="BO39" i="6"/>
  <c r="BK35" i="6"/>
  <c r="BR42" i="6"/>
  <c r="BP40" i="6"/>
  <c r="AQ76" i="6"/>
  <c r="AQ70" i="6"/>
  <c r="AN70" i="6"/>
  <c r="AN76" i="6"/>
  <c r="AM76" i="6"/>
  <c r="AM82" i="6" s="1"/>
  <c r="AM87" i="6" s="1"/>
  <c r="Y30" i="1" s="1"/>
  <c r="AM70" i="6"/>
  <c r="AI70" i="6"/>
  <c r="AI76" i="6"/>
  <c r="AJ82" i="6" s="1"/>
  <c r="AJ87" i="6" s="1"/>
  <c r="V30" i="1" s="1"/>
  <c r="AE28" i="6"/>
  <c r="BS45" i="6"/>
  <c r="BS46" i="6"/>
  <c r="AE49" i="6" s="1"/>
  <c r="AE64" i="6" s="1"/>
  <c r="AQ77" i="6"/>
  <c r="AQ71" i="6"/>
  <c r="AP71" i="6"/>
  <c r="AP77" i="6"/>
  <c r="AR71" i="6"/>
  <c r="AR77" i="6"/>
  <c r="S77" i="6"/>
  <c r="S71" i="6"/>
  <c r="AS77" i="6"/>
  <c r="AS71" i="6"/>
  <c r="AE77" i="6"/>
  <c r="AE71" i="6"/>
  <c r="AW77" i="6"/>
  <c r="AW71" i="6"/>
  <c r="AR70" i="6"/>
  <c r="AR76" i="6"/>
  <c r="AS70" i="6"/>
  <c r="AS76" i="6"/>
  <c r="AK76" i="6"/>
  <c r="AK70" i="6"/>
  <c r="AC70" i="6"/>
  <c r="AC76" i="6"/>
  <c r="BN46" i="6"/>
  <c r="Z49" i="6" s="1"/>
  <c r="BN41" i="6"/>
  <c r="BN40" i="6"/>
  <c r="BN42" i="6"/>
  <c r="BN43" i="6"/>
  <c r="Z28" i="6"/>
  <c r="BN44" i="6"/>
  <c r="BN45" i="6"/>
  <c r="AJ77" i="6"/>
  <c r="AJ71" i="6"/>
  <c r="AN71" i="6"/>
  <c r="AN77" i="6"/>
  <c r="AV77" i="6"/>
  <c r="AV71" i="6"/>
  <c r="AL77" i="6"/>
  <c r="AL71" i="6"/>
  <c r="AK50" i="6"/>
  <c r="AK65" i="6" s="1"/>
  <c r="AU71" i="6"/>
  <c r="AU77" i="6"/>
  <c r="CK46" i="6"/>
  <c r="AW49" i="6" s="1"/>
  <c r="AW64" i="6" s="1"/>
  <c r="CJ45" i="6"/>
  <c r="AF27" i="6"/>
  <c r="AF63" i="6" s="1"/>
  <c r="AP76" i="6"/>
  <c r="AP70" i="6"/>
  <c r="AC77" i="6"/>
  <c r="AC71" i="6"/>
  <c r="AH39" i="6"/>
  <c r="AK42" i="6"/>
  <c r="AM44" i="6"/>
  <c r="AL43" i="6"/>
  <c r="AG38" i="6"/>
  <c r="AG50" i="6" s="1"/>
  <c r="AG65" i="6" s="1"/>
  <c r="AJ41" i="6"/>
  <c r="AN45" i="6"/>
  <c r="AI40" i="6"/>
  <c r="X29" i="6"/>
  <c r="X65" i="6" s="1"/>
  <c r="AO46" i="6"/>
  <c r="AO50" i="6" s="1"/>
  <c r="AO65" i="6" s="1"/>
  <c r="AD76" i="6"/>
  <c r="AD77" i="6"/>
  <c r="AD71" i="6"/>
  <c r="V77" i="6"/>
  <c r="V71" i="6"/>
  <c r="R70" i="6"/>
  <c r="R76" i="6"/>
  <c r="AO76" i="6"/>
  <c r="AO70" i="6"/>
  <c r="AA38" i="6"/>
  <c r="AI46" i="6"/>
  <c r="AI50" i="6" s="1"/>
  <c r="AI65" i="6" s="1"/>
  <c r="X35" i="6"/>
  <c r="Y36" i="6"/>
  <c r="Y58" i="6" s="1"/>
  <c r="AE42" i="6"/>
  <c r="AH45" i="6"/>
  <c r="AH50" i="6" s="1"/>
  <c r="AH65" i="6" s="1"/>
  <c r="V33" i="6"/>
  <c r="AG44" i="6"/>
  <c r="W34" i="6"/>
  <c r="U32" i="6"/>
  <c r="AD41" i="6"/>
  <c r="AC40" i="6"/>
  <c r="AF43" i="6"/>
  <c r="R29" i="6"/>
  <c r="Z37" i="6"/>
  <c r="AB39" i="6"/>
  <c r="BE45" i="6"/>
  <c r="BE40" i="6"/>
  <c r="BE36" i="6"/>
  <c r="AE58" i="6" s="1"/>
  <c r="BE38" i="6"/>
  <c r="BE37" i="6"/>
  <c r="BE39" i="6"/>
  <c r="BE42" i="6"/>
  <c r="BE41" i="6"/>
  <c r="BE46" i="6"/>
  <c r="Q49" i="6" s="1"/>
  <c r="BE33" i="6"/>
  <c r="Q28" i="6"/>
  <c r="BE34" i="6"/>
  <c r="BE32" i="6"/>
  <c r="BE43" i="6"/>
  <c r="BE35" i="6"/>
  <c r="BE44" i="6"/>
  <c r="W70" i="6"/>
  <c r="W76" i="6"/>
  <c r="AM50" i="6"/>
  <c r="AM65" i="6" s="1"/>
  <c r="CF44" i="6"/>
  <c r="CG45" i="6"/>
  <c r="CH46" i="6"/>
  <c r="AT49" i="6" s="1"/>
  <c r="AT64" i="6" s="1"/>
  <c r="CE43" i="6"/>
  <c r="AC27" i="6"/>
  <c r="AC63" i="6" s="1"/>
  <c r="W71" i="6"/>
  <c r="CJ46" i="6"/>
  <c r="AV49" i="6" s="1"/>
  <c r="AV64" i="6" s="1"/>
  <c r="AE27" i="6"/>
  <c r="AE63" i="6" s="1"/>
  <c r="CI45" i="6"/>
  <c r="AU49" i="6" s="1"/>
  <c r="AU64" i="6" s="1"/>
  <c r="AF77" i="6" l="1"/>
  <c r="AF83" i="6" s="1"/>
  <c r="AF88" i="6" s="1"/>
  <c r="R31" i="1" s="1"/>
  <c r="P76" i="6"/>
  <c r="AQ82" i="6"/>
  <c r="AQ87" i="6" s="1"/>
  <c r="AC30" i="1" s="1"/>
  <c r="Y70" i="6"/>
  <c r="AF76" i="6"/>
  <c r="AG82" i="6" s="1"/>
  <c r="AG87" i="6" s="1"/>
  <c r="S30" i="1" s="1"/>
  <c r="AP82" i="6"/>
  <c r="AP87" i="6" s="1"/>
  <c r="AB30" i="1" s="1"/>
  <c r="S84" i="6"/>
  <c r="S89" i="6" s="1"/>
  <c r="E32" i="1" s="1"/>
  <c r="S70" i="6"/>
  <c r="S76" i="6"/>
  <c r="S82" i="6" s="1"/>
  <c r="S87" i="6" s="1"/>
  <c r="E30" i="1" s="1"/>
  <c r="T77" i="6"/>
  <c r="T71" i="6"/>
  <c r="Z71" i="6"/>
  <c r="Z77" i="6"/>
  <c r="R65" i="6"/>
  <c r="R71" i="6" s="1"/>
  <c r="AA70" i="6"/>
  <c r="AA76" i="6"/>
  <c r="AB71" i="6"/>
  <c r="AB77" i="6"/>
  <c r="AC83" i="6" s="1"/>
  <c r="AC88" i="6" s="1"/>
  <c r="O31" i="1" s="1"/>
  <c r="AE83" i="6"/>
  <c r="AE88" i="6" s="1"/>
  <c r="Q31" i="1" s="1"/>
  <c r="AT77" i="6"/>
  <c r="AU83" i="6" s="1"/>
  <c r="AU88" i="6" s="1"/>
  <c r="AG31" i="1" s="1"/>
  <c r="AT71" i="6"/>
  <c r="AA71" i="6"/>
  <c r="AA77" i="6"/>
  <c r="AB70" i="6"/>
  <c r="AB76" i="6"/>
  <c r="AC82" i="6" s="1"/>
  <c r="AC87" i="6" s="1"/>
  <c r="O30" i="1" s="1"/>
  <c r="Z64" i="6"/>
  <c r="Q50" i="6"/>
  <c r="Q65" i="6" s="1"/>
  <c r="U70" i="6"/>
  <c r="U76" i="6"/>
  <c r="X49" i="6"/>
  <c r="X64" i="6" s="1"/>
  <c r="V76" i="6"/>
  <c r="V70" i="6"/>
  <c r="Y50" i="6"/>
  <c r="Y65" i="6" s="1"/>
  <c r="W84" i="6"/>
  <c r="W89" i="6" s="1"/>
  <c r="I32" i="1" s="1"/>
  <c r="AH70" i="6"/>
  <c r="AH76" i="6"/>
  <c r="AI82" i="6" s="1"/>
  <c r="AI87" i="6" s="1"/>
  <c r="U30" i="1" s="1"/>
  <c r="X77" i="6"/>
  <c r="X83" i="6" s="1"/>
  <c r="X88" i="6" s="1"/>
  <c r="J31" i="1" s="1"/>
  <c r="X71" i="6"/>
  <c r="R77" i="6"/>
  <c r="S83" i="6" s="1"/>
  <c r="S88" i="6" s="1"/>
  <c r="E31" i="1" s="1"/>
  <c r="Q64" i="6"/>
  <c r="Q76" i="6" s="1"/>
  <c r="U71" i="6"/>
  <c r="U77" i="6"/>
  <c r="U83" i="6" s="1"/>
  <c r="U88" i="6" s="1"/>
  <c r="G31" i="1" s="1"/>
  <c r="T76" i="6"/>
  <c r="T70" i="6"/>
  <c r="AF69" i="6"/>
  <c r="AF75" i="6"/>
  <c r="AG81" i="6" s="1"/>
  <c r="AG86" i="6" s="1"/>
  <c r="S29" i="1" s="1"/>
  <c r="AR83" i="6"/>
  <c r="AR88" i="6" s="1"/>
  <c r="AD31" i="1" s="1"/>
  <c r="Q69" i="6"/>
  <c r="Q75" i="6"/>
  <c r="Q72" i="6"/>
  <c r="Q78" i="6"/>
  <c r="AH84" i="6"/>
  <c r="AH89" i="6" s="1"/>
  <c r="T32" i="1" s="1"/>
  <c r="Z84" i="6"/>
  <c r="Z89" i="6" s="1"/>
  <c r="L32" i="1" s="1"/>
  <c r="AA84" i="6"/>
  <c r="AA89" i="6" s="1"/>
  <c r="M32" i="1" s="1"/>
  <c r="AC84" i="6"/>
  <c r="AC89" i="6" s="1"/>
  <c r="O32" i="1" s="1"/>
  <c r="Y81" i="6"/>
  <c r="Y86" i="6" s="1"/>
  <c r="K29" i="1" s="1"/>
  <c r="Y84" i="6"/>
  <c r="Y89" i="6" s="1"/>
  <c r="K32" i="1" s="1"/>
  <c r="Z81" i="6"/>
  <c r="Z86" i="6" s="1"/>
  <c r="L29" i="1" s="1"/>
  <c r="AA81" i="6"/>
  <c r="AA86" i="6" s="1"/>
  <c r="M29" i="1" s="1"/>
  <c r="AE69" i="6"/>
  <c r="AE75" i="6"/>
  <c r="AC69" i="6"/>
  <c r="AC75" i="6"/>
  <c r="AD81" i="6" s="1"/>
  <c r="AD86" i="6" s="1"/>
  <c r="P29" i="1" s="1"/>
  <c r="T84" i="6"/>
  <c r="T89" i="6" s="1"/>
  <c r="F32" i="1" s="1"/>
  <c r="U84" i="6"/>
  <c r="U89" i="6" s="1"/>
  <c r="G32" i="1" s="1"/>
  <c r="AB81" i="6"/>
  <c r="AB86" i="6" s="1"/>
  <c r="N29" i="1" s="1"/>
  <c r="AC81" i="6"/>
  <c r="AC86" i="6" s="1"/>
  <c r="O29" i="1" s="1"/>
  <c r="AF84" i="6"/>
  <c r="AF89" i="6" s="1"/>
  <c r="R32" i="1" s="1"/>
  <c r="AE84" i="6"/>
  <c r="AE89" i="6" s="1"/>
  <c r="Q32" i="1" s="1"/>
  <c r="AD84" i="6"/>
  <c r="AD89" i="6" s="1"/>
  <c r="P32" i="1" s="1"/>
  <c r="S81" i="6"/>
  <c r="S86" i="6" s="1"/>
  <c r="E29" i="1" s="1"/>
  <c r="W81" i="6"/>
  <c r="W86" i="6" s="1"/>
  <c r="I29" i="1" s="1"/>
  <c r="X81" i="6"/>
  <c r="X86" i="6" s="1"/>
  <c r="J29" i="1" s="1"/>
  <c r="AD82" i="6"/>
  <c r="AD87" i="6" s="1"/>
  <c r="P30" i="1" s="1"/>
  <c r="Q77" i="6"/>
  <c r="Q71" i="6"/>
  <c r="AT70" i="6"/>
  <c r="AT76" i="6"/>
  <c r="AT82" i="6" s="1"/>
  <c r="AT87" i="6" s="1"/>
  <c r="AF30" i="1" s="1"/>
  <c r="AH77" i="6"/>
  <c r="AH71" i="6"/>
  <c r="AO71" i="6"/>
  <c r="AO77" i="6"/>
  <c r="AP83" i="6" s="1"/>
  <c r="AP88" i="6" s="1"/>
  <c r="AB31" i="1" s="1"/>
  <c r="AM71" i="6"/>
  <c r="AM77" i="6"/>
  <c r="AN83" i="6" s="1"/>
  <c r="AN88" i="6" s="1"/>
  <c r="Z31" i="1" s="1"/>
  <c r="Q70" i="6"/>
  <c r="W83" i="6"/>
  <c r="W88" i="6" s="1"/>
  <c r="I31" i="1" s="1"/>
  <c r="AG71" i="6"/>
  <c r="AG77" i="6"/>
  <c r="AD83" i="6"/>
  <c r="AD88" i="6" s="1"/>
  <c r="P31" i="1" s="1"/>
  <c r="V83" i="6"/>
  <c r="V88" i="6" s="1"/>
  <c r="H31" i="1" s="1"/>
  <c r="AW76" i="6"/>
  <c r="AW70" i="6"/>
  <c r="AV83" i="6"/>
  <c r="AV88" i="6" s="1"/>
  <c r="AH31" i="1" s="1"/>
  <c r="Z76" i="6"/>
  <c r="Z82" i="6" s="1"/>
  <c r="Z87" i="6" s="1"/>
  <c r="L30" i="1" s="1"/>
  <c r="Z70" i="6"/>
  <c r="W82" i="6"/>
  <c r="W87" i="6" s="1"/>
  <c r="I30" i="1" s="1"/>
  <c r="AW83" i="6"/>
  <c r="AW88" i="6" s="1"/>
  <c r="AI31" i="1" s="1"/>
  <c r="AS83" i="6"/>
  <c r="AS88" i="6" s="1"/>
  <c r="AE31" i="1" s="1"/>
  <c r="P82" i="6"/>
  <c r="P87" i="6" s="1"/>
  <c r="B30" i="1" s="1"/>
  <c r="AQ83" i="6"/>
  <c r="AQ88" i="6" s="1"/>
  <c r="AC31" i="1" s="1"/>
  <c r="AE76" i="6"/>
  <c r="AE70" i="6"/>
  <c r="AN82" i="6"/>
  <c r="AN87" i="6" s="1"/>
  <c r="Z30" i="1" s="1"/>
  <c r="AR82" i="6"/>
  <c r="AR87" i="6" s="1"/>
  <c r="AD30" i="1" s="1"/>
  <c r="AU70" i="6"/>
  <c r="AU76" i="6"/>
  <c r="AV76" i="6"/>
  <c r="AV70" i="6"/>
  <c r="AI71" i="6"/>
  <c r="AI77" i="6"/>
  <c r="AJ83" i="6" s="1"/>
  <c r="AJ88" i="6" s="1"/>
  <c r="V31" i="1" s="1"/>
  <c r="AG83" i="6"/>
  <c r="AG88" i="6" s="1"/>
  <c r="S31" i="1" s="1"/>
  <c r="AK77" i="6"/>
  <c r="AL83" i="6" s="1"/>
  <c r="AL88" i="6" s="1"/>
  <c r="X31" i="1" s="1"/>
  <c r="AK71" i="6"/>
  <c r="AM83" i="6"/>
  <c r="AM88" i="6" s="1"/>
  <c r="Y31" i="1" s="1"/>
  <c r="AK82" i="6"/>
  <c r="AK87" i="6" s="1"/>
  <c r="W30" i="1" s="1"/>
  <c r="AL82" i="6"/>
  <c r="AL87" i="6" s="1"/>
  <c r="X30" i="1" s="1"/>
  <c r="AS82" i="6"/>
  <c r="AS87" i="6" s="1"/>
  <c r="AE30" i="1" s="1"/>
  <c r="T83" i="6"/>
  <c r="T88" i="6" s="1"/>
  <c r="F31" i="1" s="1"/>
  <c r="AO82" i="6"/>
  <c r="AO87" i="6" s="1"/>
  <c r="AA30" i="1" s="1"/>
  <c r="AB83" i="6"/>
  <c r="AB88" i="6" s="1"/>
  <c r="N31" i="1" s="1"/>
  <c r="AB82" i="6" l="1"/>
  <c r="AB87" i="6" s="1"/>
  <c r="N30" i="1" s="1"/>
  <c r="R82" i="6"/>
  <c r="R87" i="6" s="1"/>
  <c r="D30" i="1" s="1"/>
  <c r="Q82" i="6"/>
  <c r="Q87" i="6" s="1"/>
  <c r="C30" i="1" s="1"/>
  <c r="AO83" i="6"/>
  <c r="AO88" i="6" s="1"/>
  <c r="AA31" i="1" s="1"/>
  <c r="AF82" i="6"/>
  <c r="AF87" i="6" s="1"/>
  <c r="R30" i="1" s="1"/>
  <c r="AH83" i="6"/>
  <c r="AH88" i="6" s="1"/>
  <c r="T31" i="1" s="1"/>
  <c r="AA83" i="6"/>
  <c r="AA88" i="6" s="1"/>
  <c r="M31" i="1" s="1"/>
  <c r="AH82" i="6"/>
  <c r="AH87" i="6" s="1"/>
  <c r="T30" i="1" s="1"/>
  <c r="AA82" i="6"/>
  <c r="AA87" i="6" s="1"/>
  <c r="M30" i="1" s="1"/>
  <c r="AW82" i="6"/>
  <c r="AW87" i="6" s="1"/>
  <c r="AI30" i="1" s="1"/>
  <c r="AF81" i="6"/>
  <c r="AF86" i="6" s="1"/>
  <c r="R29" i="1" s="1"/>
  <c r="AT83" i="6"/>
  <c r="AT88" i="6" s="1"/>
  <c r="AF31" i="1" s="1"/>
  <c r="U82" i="6"/>
  <c r="U87" i="6" s="1"/>
  <c r="G30" i="1" s="1"/>
  <c r="Y71" i="6"/>
  <c r="Y77" i="6"/>
  <c r="Z83" i="6" s="1"/>
  <c r="Z88" i="6" s="1"/>
  <c r="L31" i="1" s="1"/>
  <c r="X76" i="6"/>
  <c r="X70" i="6"/>
  <c r="V82" i="6"/>
  <c r="V87" i="6" s="1"/>
  <c r="H30" i="1" s="1"/>
  <c r="AV82" i="6"/>
  <c r="AV87" i="6" s="1"/>
  <c r="AH30" i="1" s="1"/>
  <c r="AE81" i="6"/>
  <c r="AE86" i="6" s="1"/>
  <c r="Q29" i="1" s="1"/>
  <c r="T82" i="6"/>
  <c r="T87" i="6" s="1"/>
  <c r="F30" i="1" s="1"/>
  <c r="R84" i="6"/>
  <c r="R89" i="6" s="1"/>
  <c r="D32" i="1" s="1"/>
  <c r="Q84" i="6"/>
  <c r="Q89" i="6" s="1"/>
  <c r="C32" i="1" s="1"/>
  <c r="R81" i="6"/>
  <c r="R86" i="6" s="1"/>
  <c r="D29" i="1" s="1"/>
  <c r="Q81" i="6"/>
  <c r="Q86" i="6" s="1"/>
  <c r="C29" i="1" s="1"/>
  <c r="R83" i="6"/>
  <c r="R88" i="6" s="1"/>
  <c r="D31" i="1" s="1"/>
  <c r="Q83" i="6"/>
  <c r="Q88" i="6" s="1"/>
  <c r="C31" i="1" s="1"/>
  <c r="AK83" i="6"/>
  <c r="AK88" i="6" s="1"/>
  <c r="W31" i="1" s="1"/>
  <c r="AE82" i="6"/>
  <c r="AE87" i="6" s="1"/>
  <c r="Q30" i="1" s="1"/>
  <c r="AU82" i="6"/>
  <c r="AU87" i="6" s="1"/>
  <c r="AG30" i="1" s="1"/>
  <c r="AI83" i="6"/>
  <c r="AI88" i="6" s="1"/>
  <c r="U31" i="1" s="1"/>
  <c r="X82" i="6" l="1"/>
  <c r="X87" i="6" s="1"/>
  <c r="J30" i="1" s="1"/>
  <c r="Y82" i="6"/>
  <c r="Y87" i="6" s="1"/>
  <c r="K30" i="1" s="1"/>
  <c r="Y83" i="6"/>
  <c r="Y88" i="6" s="1"/>
  <c r="K31" i="1" s="1"/>
</calcChain>
</file>

<file path=xl/sharedStrings.xml><?xml version="1.0" encoding="utf-8"?>
<sst xmlns="http://schemas.openxmlformats.org/spreadsheetml/2006/main" count="2826" uniqueCount="1473">
  <si>
    <t>Beställare:</t>
  </si>
  <si>
    <t>HUSEC AB</t>
  </si>
  <si>
    <t>Ja</t>
  </si>
  <si>
    <t>Nej</t>
  </si>
  <si>
    <t>Försöksserie:</t>
  </si>
  <si>
    <t>Försöksvärd:</t>
  </si>
  <si>
    <t>Rutfördelning i fält</t>
  </si>
  <si>
    <t>N=</t>
  </si>
  <si>
    <t>Ö=</t>
  </si>
  <si>
    <t>Alla åtgärder nedan skall dateras och signeras på fältkortets original-exemplar.</t>
  </si>
  <si>
    <t>Bruttoyta:</t>
  </si>
  <si>
    <t>x</t>
  </si>
  <si>
    <t>=</t>
  </si>
  <si>
    <t>m2</t>
  </si>
  <si>
    <t>Mån-Dag</t>
  </si>
  <si>
    <t>BBCH</t>
  </si>
  <si>
    <t>Gröda:</t>
  </si>
  <si>
    <t>Förfrukt:</t>
  </si>
  <si>
    <t>Sort:</t>
  </si>
  <si>
    <t xml:space="preserve">Sådd    Mån-Dag: </t>
  </si>
  <si>
    <t>Beställare, telefon</t>
  </si>
  <si>
    <t>Utföraransvarig, telefon</t>
  </si>
  <si>
    <t>Torbjorn.Ewaldz@hush.se 046-71 36 74</t>
  </si>
  <si>
    <t>riktning från</t>
  </si>
  <si>
    <t>m i</t>
  </si>
  <si>
    <t>Försöket ligger ca</t>
  </si>
  <si>
    <t>FÄLTKORT</t>
  </si>
  <si>
    <t>GEP-försök:</t>
  </si>
  <si>
    <t>Serie:</t>
  </si>
  <si>
    <t>ADBnr:</t>
  </si>
  <si>
    <t>F-nr:</t>
  </si>
  <si>
    <t>Namn</t>
  </si>
  <si>
    <t>ADB-nr:</t>
  </si>
  <si>
    <t>Försöksnr:</t>
  </si>
  <si>
    <t>Titel:</t>
  </si>
  <si>
    <t>Postnr:</t>
  </si>
  <si>
    <t>Adress:</t>
  </si>
  <si>
    <t>Postadress:</t>
  </si>
  <si>
    <t>Postnr/Adress:</t>
  </si>
  <si>
    <t>Sådatum:</t>
  </si>
  <si>
    <t>Utsädesmängd:</t>
  </si>
  <si>
    <t>m²</t>
  </si>
  <si>
    <t>Datum:</t>
  </si>
  <si>
    <t>Medel/Preparat:</t>
  </si>
  <si>
    <t>kg, L/ha:</t>
  </si>
  <si>
    <t>Höstraps</t>
  </si>
  <si>
    <t>Datum</t>
  </si>
  <si>
    <t>rutor</t>
  </si>
  <si>
    <t>Sprutning av (signatur)</t>
  </si>
  <si>
    <t>Sprutans namn och märkning</t>
  </si>
  <si>
    <t>Marktemperatur vid 5 cm i ºC</t>
  </si>
  <si>
    <t>Markfuktighet yta (våt, normal, torr)</t>
  </si>
  <si>
    <t>Jordstruktur (fin, medium, grov)</t>
  </si>
  <si>
    <t>Utv stadium BBCH</t>
  </si>
  <si>
    <t>Höjd i cm</t>
  </si>
  <si>
    <t>Täthet i %</t>
  </si>
  <si>
    <t>Tillväxt (låg/normal/hög)</t>
  </si>
  <si>
    <t>Dagg (mycket, måttlig, ingen)</t>
  </si>
  <si>
    <t>Regnfri tid efter beh (&gt;20 om mer än 20 h)</t>
  </si>
  <si>
    <t>E Speedy</t>
  </si>
  <si>
    <t>E Ströby</t>
  </si>
  <si>
    <t>E Agrotop</t>
  </si>
  <si>
    <t>H Sprumo</t>
  </si>
  <si>
    <t>I Agrotop</t>
  </si>
  <si>
    <t>L Kst Agrotop1</t>
  </si>
  <si>
    <t>L Kst Agrotop2</t>
  </si>
  <si>
    <t>L Kst Hardy</t>
  </si>
  <si>
    <t>L Kst Potato</t>
  </si>
  <si>
    <t>L Sby Agrotop1</t>
  </si>
  <si>
    <t>M Bo Moteska</t>
  </si>
  <si>
    <t>M To Speedy</t>
  </si>
  <si>
    <t>N Honda</t>
  </si>
  <si>
    <t>R Speedy</t>
  </si>
  <si>
    <t>R Sprumo2</t>
  </si>
  <si>
    <t>Sprumo</t>
  </si>
  <si>
    <t>Speedy 2500</t>
  </si>
  <si>
    <t>Strøby 1 E30</t>
  </si>
  <si>
    <t>Agrotop</t>
  </si>
  <si>
    <t>Agritop</t>
  </si>
  <si>
    <t>Agrotop1</t>
  </si>
  <si>
    <t>Agrotop2</t>
  </si>
  <si>
    <t>Hardi HYA800</t>
  </si>
  <si>
    <t>Potato spray</t>
  </si>
  <si>
    <t>Agrotop 1</t>
  </si>
  <si>
    <t>Moteska</t>
  </si>
  <si>
    <t>Honda Ajo</t>
  </si>
  <si>
    <t>Speedy2500</t>
  </si>
  <si>
    <t>Sprumo 2</t>
  </si>
  <si>
    <t>Typ</t>
  </si>
  <si>
    <t>SPRSLF</t>
  </si>
  <si>
    <t>SPRELE</t>
  </si>
  <si>
    <t>SPRBIC</t>
  </si>
  <si>
    <t>SPRPNE</t>
  </si>
  <si>
    <t>SPAIBL</t>
  </si>
  <si>
    <t>TRMOSP</t>
  </si>
  <si>
    <t>SPTRMO</t>
  </si>
  <si>
    <t>SPCODR</t>
  </si>
  <si>
    <t>AIBLSP</t>
  </si>
  <si>
    <t>Munstycken</t>
  </si>
  <si>
    <t>Storlek</t>
  </si>
  <si>
    <t>LD015-110</t>
  </si>
  <si>
    <t>LD02-110</t>
  </si>
  <si>
    <t>LD 02-110</t>
  </si>
  <si>
    <t>110-015VS</t>
  </si>
  <si>
    <t>11003 LD</t>
  </si>
  <si>
    <t>LD025-110</t>
  </si>
  <si>
    <t>F-015-110</t>
  </si>
  <si>
    <t>/bom</t>
  </si>
  <si>
    <t>Antal bommar</t>
  </si>
  <si>
    <t>ID-nr</t>
  </si>
  <si>
    <t>HSKon-50</t>
  </si>
  <si>
    <t>E306</t>
  </si>
  <si>
    <t>E304</t>
  </si>
  <si>
    <t>E301</t>
  </si>
  <si>
    <t>HSI 6:2</t>
  </si>
  <si>
    <t>HSN-18</t>
  </si>
  <si>
    <t>HSKon-51</t>
  </si>
  <si>
    <t>HSKon-55</t>
  </si>
  <si>
    <t>HSKon-52</t>
  </si>
  <si>
    <t>HSKon-54</t>
  </si>
  <si>
    <t>Bomlängd</t>
  </si>
  <si>
    <t>Bomhöjd</t>
  </si>
  <si>
    <t>WATER</t>
  </si>
  <si>
    <t>Blandningsvolym</t>
  </si>
  <si>
    <t>Omrörning</t>
  </si>
  <si>
    <t>PROP</t>
  </si>
  <si>
    <t>AIRFAN</t>
  </si>
  <si>
    <t>PUMPIS</t>
  </si>
  <si>
    <t>PUMP</t>
  </si>
  <si>
    <t>Mechanica</t>
  </si>
  <si>
    <t>COMAIR</t>
  </si>
  <si>
    <t>COMN2</t>
  </si>
  <si>
    <t>NONE</t>
  </si>
  <si>
    <t>N</t>
  </si>
  <si>
    <t>Utförare:</t>
  </si>
  <si>
    <t>HS-Konsult</t>
  </si>
  <si>
    <t>GRÖDA</t>
  </si>
  <si>
    <t>Behandlade försöksled (ex  2-7,10)</t>
  </si>
  <si>
    <t>Spruttillfälle:</t>
  </si>
  <si>
    <t>Låg</t>
  </si>
  <si>
    <t>Normal</t>
  </si>
  <si>
    <t>Hög</t>
  </si>
  <si>
    <t>Våt</t>
  </si>
  <si>
    <t>Torr</t>
  </si>
  <si>
    <t>Mycket</t>
  </si>
  <si>
    <t>Måttlig</t>
  </si>
  <si>
    <t>Ingen</t>
  </si>
  <si>
    <t>Sign.</t>
  </si>
  <si>
    <t>Skörd</t>
  </si>
  <si>
    <t>Ruta</t>
  </si>
  <si>
    <t>Jordprov</t>
  </si>
  <si>
    <t xml:space="preserve"> </t>
  </si>
  <si>
    <t>ADB-nr</t>
  </si>
  <si>
    <t>Skördeår</t>
  </si>
  <si>
    <t>Plan-nr</t>
  </si>
  <si>
    <t>Försöksnr</t>
  </si>
  <si>
    <t>Graderat av</t>
  </si>
  <si>
    <t>Led</t>
  </si>
  <si>
    <t>Block</t>
  </si>
  <si>
    <t>ospec skada</t>
  </si>
  <si>
    <t>klorotisk sk.</t>
  </si>
  <si>
    <t>missfärgning</t>
  </si>
  <si>
    <t>gulfärgning</t>
  </si>
  <si>
    <t>nekrotisk sk.</t>
  </si>
  <si>
    <t>Antal led:</t>
  </si>
  <si>
    <t>Ledordning</t>
  </si>
  <si>
    <t>Rutnr</t>
  </si>
  <si>
    <t>Antal</t>
  </si>
  <si>
    <t>deform. pl.</t>
  </si>
  <si>
    <t>Utv.st. gröda</t>
  </si>
  <si>
    <t>Ev stress (torka, frost)</t>
  </si>
  <si>
    <t>PM för fältförsök</t>
  </si>
  <si>
    <t>Borgeby</t>
  </si>
  <si>
    <t>Plan:</t>
  </si>
  <si>
    <t>Namn:</t>
  </si>
  <si>
    <t>Standard:</t>
  </si>
  <si>
    <t>Plats och antal:</t>
  </si>
  <si>
    <t>GEP-försök</t>
  </si>
  <si>
    <t>GEP enl HUSEC AB Kvalitetshandbok, konfidentiellt.</t>
  </si>
  <si>
    <t>English title:</t>
  </si>
  <si>
    <t>Försöksplan</t>
  </si>
  <si>
    <t>Parcellstorlek, antal</t>
  </si>
  <si>
    <t xml:space="preserve">Antal upprepningar </t>
  </si>
  <si>
    <t>parceller</t>
  </si>
  <si>
    <t>Sprutteknik</t>
  </si>
  <si>
    <t>L vatten per ha.</t>
  </si>
  <si>
    <t>Noteringar</t>
  </si>
  <si>
    <t>Övriga odlingsåtg.</t>
  </si>
  <si>
    <t>Behandlingstidpunkter</t>
  </si>
  <si>
    <t>Sprutjournal</t>
  </si>
  <si>
    <t xml:space="preserve">Sprutjournal enligt GEP, HUSEC dokument 2.5.3 skall fyllas i. Förutom </t>
  </si>
  <si>
    <t>väderleksförhållanden vid behandling anges även grödans och ogräsens</t>
  </si>
  <si>
    <t>Meteorologiska data:</t>
  </si>
  <si>
    <t>Graderingar</t>
  </si>
  <si>
    <t>Höstsäd</t>
  </si>
  <si>
    <t>Vårsäd</t>
  </si>
  <si>
    <t>Grödtyp:</t>
  </si>
  <si>
    <t>Beh-typ</t>
  </si>
  <si>
    <t>H-oljev</t>
  </si>
  <si>
    <t>V-oljev</t>
  </si>
  <si>
    <t>Potatis</t>
  </si>
  <si>
    <t>S-betor</t>
  </si>
  <si>
    <t>Majs</t>
  </si>
  <si>
    <t>OBS! Om inga skador förekommer noteras även detta vid resp. tillfälle!</t>
  </si>
  <si>
    <t>, PP 1/135(3), PP 1/152, PP 1/181</t>
  </si>
  <si>
    <t>EPPO-standarder:</t>
  </si>
  <si>
    <t xml:space="preserve">HUSEC för </t>
  </si>
  <si>
    <t>Resultat</t>
  </si>
  <si>
    <t>inom 10 dagar efter gradering.</t>
  </si>
  <si>
    <t>Fältkort mm efter avslut till</t>
  </si>
  <si>
    <t>Borgeby Slottsväg 11,</t>
  </si>
  <si>
    <t>237 91 Borgeby</t>
  </si>
  <si>
    <t>Kontaktpersoner</t>
  </si>
  <si>
    <t>I första hand</t>
  </si>
  <si>
    <t>Undersökningsledare Torbjörn Ewaldz</t>
  </si>
  <si>
    <t>046-71 36 74</t>
  </si>
  <si>
    <t>I andra hand</t>
  </si>
  <si>
    <t>Undersökningsledare Lars Wiik</t>
  </si>
  <si>
    <t>046-71 36 79</t>
  </si>
  <si>
    <t>2x2</t>
  </si>
  <si>
    <t>1x4</t>
  </si>
  <si>
    <t>4x1</t>
  </si>
  <si>
    <t>Valt format:</t>
  </si>
  <si>
    <t>Makhteshim</t>
  </si>
  <si>
    <t>Syngenta</t>
  </si>
  <si>
    <t>BASF</t>
  </si>
  <si>
    <t>Nufarm</t>
  </si>
  <si>
    <t>Nordisk Alkali</t>
  </si>
  <si>
    <t>BioAgri</t>
  </si>
  <si>
    <t>Lin och hampa</t>
  </si>
  <si>
    <t>Ärt och böna</t>
  </si>
  <si>
    <t>F1</t>
  </si>
  <si>
    <t>F2</t>
  </si>
  <si>
    <t>G1</t>
  </si>
  <si>
    <t>G2</t>
  </si>
  <si>
    <t>G3</t>
  </si>
  <si>
    <t>G4</t>
  </si>
  <si>
    <t>T2</t>
  </si>
  <si>
    <t>I</t>
  </si>
  <si>
    <t>II</t>
  </si>
  <si>
    <t>IV</t>
  </si>
  <si>
    <t>III</t>
  </si>
  <si>
    <t>%</t>
  </si>
  <si>
    <t>led =</t>
  </si>
  <si>
    <t xml:space="preserve">Bruttoyta skall vara min. </t>
  </si>
  <si>
    <t>utvecklingsstadium vid behandlingstillfället. Se flik "Sprutjournal".</t>
  </si>
  <si>
    <t>Råg</t>
  </si>
  <si>
    <t>Höstkorn</t>
  </si>
  <si>
    <t>Rågvete</t>
  </si>
  <si>
    <t>Vårvete</t>
  </si>
  <si>
    <t>Vårkorn</t>
  </si>
  <si>
    <t>Havre</t>
  </si>
  <si>
    <t>Vårraps</t>
  </si>
  <si>
    <t>Ärt</t>
  </si>
  <si>
    <t>Skogsplantor</t>
  </si>
  <si>
    <t>Jordgubbar</t>
  </si>
  <si>
    <t>Tfn:</t>
  </si>
  <si>
    <t>Utföraransv.:</t>
  </si>
  <si>
    <t>Skördeår:</t>
  </si>
  <si>
    <t>Försöksår:</t>
  </si>
  <si>
    <t>Protokoll:</t>
  </si>
  <si>
    <t>Application Date:</t>
  </si>
  <si>
    <t>Application Method:</t>
  </si>
  <si>
    <t>Application Timing, GS:</t>
  </si>
  <si>
    <t>Application Placement:</t>
  </si>
  <si>
    <t>Applied By:</t>
  </si>
  <si>
    <t>Air Temperature, ºC:</t>
  </si>
  <si>
    <t>% Relative Humidity:</t>
  </si>
  <si>
    <t>Wind Velocity, MPS:</t>
  </si>
  <si>
    <t>Wind Direction:</t>
  </si>
  <si>
    <t xml:space="preserve">Dew Presence (Y/N):  </t>
  </si>
  <si>
    <t>Soil Temperature,  ºC:</t>
  </si>
  <si>
    <t>Soil Moisture:</t>
  </si>
  <si>
    <t>% Cloud Cover:</t>
  </si>
  <si>
    <t>Next Rain Occurred On:</t>
  </si>
  <si>
    <t>T1</t>
  </si>
  <si>
    <t>SPRAY</t>
  </si>
  <si>
    <t>Fin</t>
  </si>
  <si>
    <t>Medium</t>
  </si>
  <si>
    <t>Grov</t>
  </si>
  <si>
    <t>Markfuktighet 5 cm djup (våt, normal, torr)</t>
  </si>
  <si>
    <t>0º N</t>
  </si>
  <si>
    <t>45º NO</t>
  </si>
  <si>
    <t>90º O</t>
  </si>
  <si>
    <t>135º SO</t>
  </si>
  <si>
    <t>180º S</t>
  </si>
  <si>
    <t>225º SV</t>
  </si>
  <si>
    <t>270º V</t>
  </si>
  <si>
    <t>315º NV</t>
  </si>
  <si>
    <t>Bruttobredd</t>
  </si>
  <si>
    <t>Bruttolängd</t>
  </si>
  <si>
    <t>Molnighet, %</t>
  </si>
  <si>
    <t xml:space="preserve">Vattenmängd, L/ha   </t>
  </si>
  <si>
    <t>22.5º NNO</t>
  </si>
  <si>
    <t>67.5º ONO</t>
  </si>
  <si>
    <t>112.5º OSO</t>
  </si>
  <si>
    <t>157.5º SSO</t>
  </si>
  <si>
    <t>202.5º SSV</t>
  </si>
  <si>
    <t>247.5º VSV</t>
  </si>
  <si>
    <t>292.5º VNV</t>
  </si>
  <si>
    <t>337.5º NNV</t>
  </si>
  <si>
    <t>NNE</t>
  </si>
  <si>
    <t>NE</t>
  </si>
  <si>
    <t>ENE</t>
  </si>
  <si>
    <t>E</t>
  </si>
  <si>
    <t>ESE</t>
  </si>
  <si>
    <t>SE</t>
  </si>
  <si>
    <t>SSE</t>
  </si>
  <si>
    <t>S</t>
  </si>
  <si>
    <t>SSW</t>
  </si>
  <si>
    <t>SW</t>
  </si>
  <si>
    <t>WSW</t>
  </si>
  <si>
    <t>WNW</t>
  </si>
  <si>
    <t>NW</t>
  </si>
  <si>
    <t>NNW</t>
  </si>
  <si>
    <t>C</t>
  </si>
  <si>
    <t>MPS</t>
  </si>
  <si>
    <t>Herbicider</t>
  </si>
  <si>
    <t>N15.5 ks</t>
  </si>
  <si>
    <t>Ally 50 ST</t>
  </si>
  <si>
    <t>Acanto</t>
  </si>
  <si>
    <t>N27</t>
  </si>
  <si>
    <t>N46 Urea</t>
  </si>
  <si>
    <t>Ariane S</t>
  </si>
  <si>
    <t>Hussar</t>
  </si>
  <si>
    <t>Amistar</t>
  </si>
  <si>
    <t>Fastac 50</t>
  </si>
  <si>
    <t>NS 27-4 Axan</t>
  </si>
  <si>
    <t>Astrum</t>
  </si>
  <si>
    <t>Armure</t>
  </si>
  <si>
    <t>NPK 8-5-19 potatis</t>
  </si>
  <si>
    <t>Comet</t>
  </si>
  <si>
    <t>NPK 11-5-18 potatis</t>
  </si>
  <si>
    <t>Flexity</t>
  </si>
  <si>
    <t>NPK 15-4-8 Probeta</t>
  </si>
  <si>
    <t>NPK 17-5-10</t>
  </si>
  <si>
    <t>Bacara</t>
  </si>
  <si>
    <t>Jenton</t>
  </si>
  <si>
    <t>NPK 18-4-12</t>
  </si>
  <si>
    <t>NPK 21-3-10</t>
  </si>
  <si>
    <t>Basagran SG</t>
  </si>
  <si>
    <t>MCPA 750</t>
  </si>
  <si>
    <t>NPK 21-4-7</t>
  </si>
  <si>
    <t>Monitor</t>
  </si>
  <si>
    <t>NPK 22-0-12</t>
  </si>
  <si>
    <t>Boxer</t>
  </si>
  <si>
    <t>NPK 22-4-7</t>
  </si>
  <si>
    <t>Primus</t>
  </si>
  <si>
    <t>NPK 22-6-6</t>
  </si>
  <si>
    <t>Butisan Top</t>
  </si>
  <si>
    <t>NPK 23-3-9</t>
  </si>
  <si>
    <t>Callisto</t>
  </si>
  <si>
    <t>Reglone</t>
  </si>
  <si>
    <t>NPK 24-4-5</t>
  </si>
  <si>
    <t>Roundup Bio</t>
  </si>
  <si>
    <t>Upstream</t>
  </si>
  <si>
    <t>NPK 26-3-4</t>
  </si>
  <si>
    <t>Roundup Max</t>
  </si>
  <si>
    <t>NPK 27-2-3</t>
  </si>
  <si>
    <t>Safari 50 DF</t>
  </si>
  <si>
    <t>NPK 27-3-3</t>
  </si>
  <si>
    <t>Select</t>
  </si>
  <si>
    <t>P20 Superfosfat</t>
  </si>
  <si>
    <t>Event Super</t>
  </si>
  <si>
    <t>Sencor</t>
  </si>
  <si>
    <t>PK 11-21</t>
  </si>
  <si>
    <t>MAP 12-27-0</t>
  </si>
  <si>
    <t>Fenix</t>
  </si>
  <si>
    <t>MAG 11-0-0-9</t>
  </si>
  <si>
    <t>Fiesta T</t>
  </si>
  <si>
    <t>Spotlight Plus</t>
  </si>
  <si>
    <t>MgS 10-13</t>
  </si>
  <si>
    <t>Focus Ultra</t>
  </si>
  <si>
    <t>Starane 180</t>
  </si>
  <si>
    <t>MKP 0-23-48</t>
  </si>
  <si>
    <t>K-Plus 14-0-38</t>
  </si>
  <si>
    <t>Gödselmedel</t>
  </si>
  <si>
    <t>cm</t>
  </si>
  <si>
    <t>W</t>
  </si>
  <si>
    <t>NNO</t>
  </si>
  <si>
    <t>NNV</t>
  </si>
  <si>
    <t>NO</t>
  </si>
  <si>
    <t>NV</t>
  </si>
  <si>
    <t>O</t>
  </si>
  <si>
    <t>ONO</t>
  </si>
  <si>
    <t>OSO</t>
  </si>
  <si>
    <t>SO</t>
  </si>
  <si>
    <t>SSV</t>
  </si>
  <si>
    <t>SSO</t>
  </si>
  <si>
    <t>SV</t>
  </si>
  <si>
    <t>V</t>
  </si>
  <si>
    <t>VNV</t>
  </si>
  <si>
    <t>VSV</t>
  </si>
  <si>
    <t>Block 1</t>
  </si>
  <si>
    <t>Block 2</t>
  </si>
  <si>
    <t>Block 3</t>
  </si>
  <si>
    <t>Block 4</t>
  </si>
  <si>
    <t>y</t>
  </si>
  <si>
    <t>Sprumo -87</t>
  </si>
  <si>
    <t>HSKon-50 ABC</t>
  </si>
  <si>
    <t>HSKon-51 T</t>
  </si>
  <si>
    <t>HSKon-52 U</t>
  </si>
  <si>
    <t>HSKon-53 U</t>
  </si>
  <si>
    <t>HSKon-54 W</t>
  </si>
  <si>
    <t>HSKon-55 U</t>
  </si>
  <si>
    <t>HSK-56 U</t>
  </si>
  <si>
    <t>Brunnby1</t>
  </si>
  <si>
    <t>Brunnby2</t>
  </si>
  <si>
    <t>tillväxthämning</t>
  </si>
  <si>
    <t>DuPont</t>
  </si>
  <si>
    <t xml:space="preserve">Tryck, Bar      </t>
  </si>
  <si>
    <t>Hastighet, km/t</t>
  </si>
  <si>
    <t>30 cm: Lufttemp, ºC</t>
  </si>
  <si>
    <t>Rel luftfukt, %</t>
  </si>
  <si>
    <t>Vindriktning (tex NV)</t>
  </si>
  <si>
    <t>Vindhast, m/s</t>
  </si>
  <si>
    <t>Starttid, t ex 7:45</t>
  </si>
  <si>
    <t>Sluttid</t>
  </si>
  <si>
    <t>[FD01]</t>
  </si>
  <si>
    <t>[FD02]</t>
  </si>
  <si>
    <t>[FD03]</t>
  </si>
  <si>
    <t>[FD04]</t>
  </si>
  <si>
    <t>[FD06]</t>
  </si>
  <si>
    <t>X-plats;;;;;0;0;0;</t>
  </si>
  <si>
    <t>L/ha</t>
  </si>
  <si>
    <t>Instruktioner</t>
  </si>
  <si>
    <t xml:space="preserve">Innan du exporterar måste du ha </t>
  </si>
  <si>
    <t xml:space="preserve">ha filen FILTRANS.XLA inlagd i </t>
  </si>
  <si>
    <t>C:\Program\Microsoft Office\OFFICE11\XLSTART</t>
  </si>
  <si>
    <t>Filen finns att hämta på husec.se/mallar</t>
  </si>
  <si>
    <t>Filen behöver bara läggas in en gång!</t>
  </si>
  <si>
    <t>När man ändå håller på med Utforskaren kan man</t>
  </si>
  <si>
    <t>skapa ett bibliotek C:\DATA   där det kan vara</t>
  </si>
  <si>
    <t>lämpligt att lägga den skapade textfilen.</t>
  </si>
  <si>
    <t>1. Markera det gulfärgade området</t>
  </si>
  <si>
    <t xml:space="preserve">3. Ange filnamn t ex c:\data\HUD100.txt   om du </t>
  </si>
  <si>
    <t xml:space="preserve">    jobbar med försöksjournalen för HUD100 osv.</t>
  </si>
  <si>
    <t>4. Klicka på Exportera.</t>
  </si>
  <si>
    <t xml:space="preserve">5. Klart! Nu finns det en fil som går att importera till </t>
  </si>
  <si>
    <t xml:space="preserve">    Fältdatabasen. Du hittar filen i c:\data</t>
  </si>
  <si>
    <t>Överföringsfil till försöksdatabas</t>
  </si>
  <si>
    <t>Sådd:</t>
  </si>
  <si>
    <t>Standard NIT-analys + tkv</t>
  </si>
  <si>
    <t>husec.se</t>
  </si>
  <si>
    <t>F-serie:</t>
  </si>
  <si>
    <t>Skördeyta:</t>
  </si>
  <si>
    <t>Höstvete</t>
  </si>
  <si>
    <t>Lupin</t>
  </si>
  <si>
    <t>Lin</t>
  </si>
  <si>
    <t>Betesmark</t>
  </si>
  <si>
    <t>Skörd, kg</t>
  </si>
  <si>
    <t>Beh-tillf.</t>
  </si>
  <si>
    <t>Matjordsprov tas ut (20 stick som representerar platsen). Provet till Agrilab.</t>
  </si>
  <si>
    <t>pH, mullhalt, jordart (sand-, silt- och lerhalter), AL-analys av P, K, Mg och Ca</t>
  </si>
  <si>
    <t>Analys av:</t>
  </si>
  <si>
    <t>Obeh=</t>
  </si>
  <si>
    <t>PHYGEN</t>
  </si>
  <si>
    <t xml:space="preserve">PHYCHL     </t>
  </si>
  <si>
    <t>PHYDSC</t>
  </si>
  <si>
    <t>PHYYEL</t>
  </si>
  <si>
    <t>PHYNEC</t>
  </si>
  <si>
    <t>PHYDEF</t>
  </si>
  <si>
    <t>PHYDFL</t>
  </si>
  <si>
    <t>försenad blomn</t>
  </si>
  <si>
    <t>PHYTHI</t>
  </si>
  <si>
    <t>Uttunning</t>
  </si>
  <si>
    <t>PHYGRI</t>
  </si>
  <si>
    <t>Skörd inkl stråstyrka.</t>
  </si>
  <si>
    <t>Stråstyrka</t>
  </si>
  <si>
    <t>Råskörd, kg/ha (automatiskt)</t>
  </si>
  <si>
    <t>Utsädesmängd, kg/ha:</t>
  </si>
  <si>
    <t>Till undersökningsledaren sänds kopia efter sådd/utläggning, originalet efter skörd eller sista gradering.</t>
  </si>
  <si>
    <t>Parcellerna pekar mot</t>
  </si>
  <si>
    <t>Försöksled enl plan</t>
  </si>
  <si>
    <t>En sticka med försökets ADB-nr placeras nere till vänster vid ruta 1.</t>
  </si>
  <si>
    <t>JORDPROV</t>
  </si>
  <si>
    <t>Koord N ex 55.12345</t>
  </si>
  <si>
    <t>Koord E ex 14.54321</t>
  </si>
  <si>
    <t>Norrpil        o</t>
  </si>
  <si>
    <t>Behandlingsskador</t>
  </si>
  <si>
    <t>B E H A N D L I N G S S K A D O R</t>
  </si>
  <si>
    <t>Utv.stadier</t>
  </si>
  <si>
    <t>09</t>
  </si>
  <si>
    <t>Sk genom m-yta</t>
  </si>
  <si>
    <t>etc</t>
  </si>
  <si>
    <t>1:a bl  utvecklat</t>
  </si>
  <si>
    <t>2:a bl utvecklat</t>
  </si>
  <si>
    <t>end h-skott utveckl</t>
  </si>
  <si>
    <t>h-skott + 1 sidosk.</t>
  </si>
  <si>
    <t>h-skott + 2 sidosk.</t>
  </si>
  <si>
    <t>Bladslidor förlängs</t>
  </si>
  <si>
    <t>1 nod finns</t>
  </si>
  <si>
    <t>2 noder finns</t>
  </si>
  <si>
    <t>fl-blad slida utväxer</t>
  </si>
  <si>
    <t>fl-blad slida utvidgad</t>
  </si>
  <si>
    <t>fl-blad just synligt</t>
  </si>
  <si>
    <t>fl-blad slida synlig</t>
  </si>
  <si>
    <t>ax första agnar synl</t>
  </si>
  <si>
    <t>1 småax synl</t>
  </si>
  <si>
    <t>1/2 axet framme</t>
  </si>
  <si>
    <t>hela axet framme</t>
  </si>
  <si>
    <t>Beg blomning</t>
  </si>
  <si>
    <t>full blom</t>
  </si>
  <si>
    <t>avslutad blomning</t>
  </si>
  <si>
    <t>beg mjölkmognad</t>
  </si>
  <si>
    <t>Hj-blad gnm m-yta</t>
  </si>
  <si>
    <t>Hj-blad utvecklade</t>
  </si>
  <si>
    <t>1 örtblad utv.</t>
  </si>
  <si>
    <t>2 örtblad utv.</t>
  </si>
  <si>
    <t>Pl börjar sträckas</t>
  </si>
  <si>
    <t>1 internod förlängd</t>
  </si>
  <si>
    <t>2 internoder förl</t>
  </si>
  <si>
    <t>första kronbl synl</t>
  </si>
  <si>
    <t>1:a blomman utslag</t>
  </si>
  <si>
    <t>full blomn</t>
  </si>
  <si>
    <t>mjölkm.</t>
  </si>
  <si>
    <t>sen m-m, klibbigt</t>
  </si>
  <si>
    <t>beg degmogn, ostigt</t>
  </si>
  <si>
    <t>degm., nagelavtr tb</t>
  </si>
  <si>
    <t>sen d-m, n-avtr kvar</t>
  </si>
  <si>
    <t>1:a skidor/baljor etc</t>
  </si>
  <si>
    <t>10 % nått full längd</t>
  </si>
  <si>
    <t>7X</t>
  </si>
  <si>
    <t>X0 % nått full längd</t>
  </si>
  <si>
    <t>10 % av sk/balj mogna</t>
  </si>
  <si>
    <t>8X</t>
  </si>
  <si>
    <t>X0 % mogna</t>
  </si>
  <si>
    <t>fullmoget</t>
  </si>
  <si>
    <t>Bruttobredd,m:</t>
  </si>
  <si>
    <t>Bruttolängd, m:</t>
  </si>
  <si>
    <t>Nettobredd, m:</t>
  </si>
  <si>
    <t>Nettolängd, m:</t>
  </si>
  <si>
    <t>Förförfrukt:</t>
  </si>
  <si>
    <t>Jordprov, datum</t>
  </si>
  <si>
    <t>Jordprov, sign</t>
  </si>
  <si>
    <t>Träda</t>
  </si>
  <si>
    <t>HUSEC Id-no.:</t>
  </si>
  <si>
    <t>Trial series:</t>
  </si>
  <si>
    <t>Title:</t>
  </si>
  <si>
    <t>Crop:</t>
  </si>
  <si>
    <t>Alt. trial no.:</t>
  </si>
  <si>
    <t>Cooperator:</t>
  </si>
  <si>
    <t>Address:</t>
  </si>
  <si>
    <t>Zip code::</t>
  </si>
  <si>
    <t>City:</t>
  </si>
  <si>
    <t>Coord N:</t>
  </si>
  <si>
    <t>Coord E:</t>
  </si>
  <si>
    <t>Variety:</t>
  </si>
  <si>
    <t>Sowing-date:</t>
  </si>
  <si>
    <t>Seed rate, kg/ha:</t>
  </si>
  <si>
    <t>Pre-crop:</t>
  </si>
  <si>
    <t>T1 date</t>
  </si>
  <si>
    <t>T1 BBCH</t>
  </si>
  <si>
    <t>T1 Trtm</t>
  </si>
  <si>
    <t>T2 date</t>
  </si>
  <si>
    <t>T2 BBCH</t>
  </si>
  <si>
    <t>T2 Trtm</t>
  </si>
  <si>
    <t>FIELD Treatments</t>
  </si>
  <si>
    <t>date</t>
  </si>
  <si>
    <t>trtm</t>
  </si>
  <si>
    <t>amount</t>
  </si>
  <si>
    <t>Skördebredd</t>
  </si>
  <si>
    <t>Skördelängd</t>
  </si>
  <si>
    <t>Fsk riktn °</t>
  </si>
  <si>
    <t xml:space="preserve">2. I gardinen Data - välj Exportera (Excel2010 Flik </t>
  </si>
  <si>
    <t>Tillägg - Exportera)</t>
  </si>
  <si>
    <t>*</t>
  </si>
  <si>
    <t>om skadegörarna/ogräsen är ojämnt fördelade i försöket (viss skillnad finns ju dock nästan alltid)</t>
  </si>
  <si>
    <t>övriga iakttagelser som bör nämnas</t>
  </si>
  <si>
    <t>Händelse/Iakttagelse</t>
  </si>
  <si>
    <t>Målet med dessa enkla frågor är att möjliggöra en validering och bedömning av tillförlitligheten hos de data som producerats i ett enskilt försök. Graderingen av tillförlitligheten för ett försök måste färdigställas vid slutet av säsongen. Det finns bara två val: HÖG eller LÅG. Ett försök graderas som HÖG tillförlitlighet om en eller flera rubriker klassas med HÖG tillförlitlighet (inkl Skadegörare-, Gröda- och Skörd-rubrikerna)</t>
  </si>
  <si>
    <t>Var vänlig att besvara varje fråga nedan enligt svarsalternativen.</t>
  </si>
  <si>
    <t>JA</t>
  </si>
  <si>
    <t>Specifika rubrikfrågor</t>
  </si>
  <si>
    <t>JA/NEJ</t>
  </si>
  <si>
    <t xml:space="preserve">    Beskriv eller förklara:</t>
  </si>
  <si>
    <t>NEJ</t>
  </si>
  <si>
    <r>
      <t xml:space="preserve">Är skadegörarnivåerna acceptabla och enhetliga över försöket? </t>
    </r>
    <r>
      <rPr>
        <i/>
        <sz val="10"/>
        <rFont val="Arial"/>
        <family val="2"/>
      </rPr>
      <t>Om svaret är NEJ, beskriv skadegörarnivåer och fördelning i fältet:</t>
    </r>
  </si>
  <si>
    <r>
      <t xml:space="preserve">Är grödan jämn och vid god vigör? </t>
    </r>
    <r>
      <rPr>
        <i/>
        <sz val="10"/>
        <rFont val="Arial"/>
        <family val="2"/>
      </rPr>
      <t>Om svaret är NEJ, ge detaljer:</t>
    </r>
  </si>
  <si>
    <r>
      <t xml:space="preserve">Gav standardprodukten/erna den effekt man kan förvänta? </t>
    </r>
    <r>
      <rPr>
        <i/>
        <sz val="10"/>
        <rFont val="Arial"/>
        <family val="2"/>
      </rPr>
      <t>Om svaret är NEJ, förklara hur effekten skiljer sig från den man kan förvänta:</t>
    </r>
  </si>
  <si>
    <r>
      <t xml:space="preserve">Finns det några faktorer som orsakade svårigheter under graderingarna? </t>
    </r>
    <r>
      <rPr>
        <i/>
        <sz val="10"/>
        <rFont val="Arial"/>
        <family val="2"/>
      </rPr>
      <t>Om svaret är JA, förklara (t ex grödan var våt när vi graderade mjöldagg, eller grödan var extremt frodig när vi skulle gradera ogräsförekomsten).</t>
    </r>
  </si>
  <si>
    <r>
      <t xml:space="preserve">Finns det några andra faktorer som påverkar giltigheten hos de data som producerats i försöket? </t>
    </r>
    <r>
      <rPr>
        <i/>
        <sz val="10"/>
        <rFont val="Arial"/>
        <family val="2"/>
      </rPr>
      <t>Om svaret är JA, förklara: Ex: markägaren råkade spruta över försöket; Har grödan lidit av stress, t ex torka?</t>
    </r>
  </si>
  <si>
    <r>
      <t>Tillförlitlighet av data som producerats: Finns det några klart avvikande data, dvs där en eller flera rutor avviker kraftigt från andra rutor som behandlats likadant?</t>
    </r>
    <r>
      <rPr>
        <i/>
        <sz val="10"/>
        <rFont val="Arial"/>
        <family val="2"/>
      </rPr>
      <t xml:space="preserve"> Om svaret är JA, förklara vad och i vilken omfattning.</t>
    </r>
  </si>
  <si>
    <t>Generella frågor om försöket som helhet.</t>
  </si>
  <si>
    <r>
      <t xml:space="preserve">Var väderförhållandena typiska för ett normalår? </t>
    </r>
    <r>
      <rPr>
        <i/>
        <sz val="10"/>
        <rFont val="Arial"/>
        <family val="2"/>
      </rPr>
      <t>Om svaret är NEJ, förklara vad som skilde från normalåret. Hur har detta påverkat försöket och de data som producerats?</t>
    </r>
  </si>
  <si>
    <r>
      <t xml:space="preserve">Var den utsprutade dosen den som angavs i planen (±10%)? </t>
    </r>
    <r>
      <rPr>
        <i/>
        <sz val="10"/>
        <rFont val="Arial"/>
        <family val="2"/>
      </rPr>
      <t>Om svaret är NEJ, förklara - gäller felet en eller flera försöksled?</t>
    </r>
  </si>
  <si>
    <r>
      <t xml:space="preserve">Är det något som avvikit från försökplanen? </t>
    </r>
    <r>
      <rPr>
        <i/>
        <sz val="10"/>
        <rFont val="Arial"/>
        <family val="2"/>
      </rPr>
      <t>Om svaret är JA, förklara vad (om en avvikelse kan motiveras / rättfärdigas kan försöket fortfarande vara tillförlitligt):</t>
    </r>
  </si>
  <si>
    <r>
      <t xml:space="preserve">Har EPPOs guidelinjer följts? (Har HUSECs försökshandbok följts?) </t>
    </r>
    <r>
      <rPr>
        <i/>
        <sz val="10"/>
        <rFont val="Arial"/>
        <family val="2"/>
      </rPr>
      <t>Om svaret är NEJ, ange om några guidelinjer följts överhuvudtaget och i så fall vilka:</t>
    </r>
  </si>
  <si>
    <r>
      <t xml:space="preserve">Har EPPOs guidelinje 181 följts, alla begärda data förts in och försöket avslutats? </t>
    </r>
    <r>
      <rPr>
        <i/>
        <sz val="10"/>
        <rFont val="Arial"/>
        <family val="2"/>
      </rPr>
      <t>Om svaret är NEJ, förklara varför detta inte gjorts.</t>
    </r>
  </si>
  <si>
    <r>
      <t xml:space="preserve">Har du observerat några positiva eller negativa effekter på organismer som inte var målet med behandlingarna, dvs bin (pollinatorer), närliggande grödor och effekt på vilt? </t>
    </r>
    <r>
      <rPr>
        <i/>
        <sz val="10"/>
        <rFont val="Arial"/>
        <family val="2"/>
      </rPr>
      <t>Om svaret är JA, ange effekterna och beskriv hur de påverkat.</t>
    </r>
  </si>
  <si>
    <t>SLUTLIG BEDÖMNING</t>
  </si>
  <si>
    <t>LÅG TILLFÖRLITLIGHET</t>
  </si>
  <si>
    <t>Om du svarat JA på frågorna 1,2,3,7,8,10 &amp; 11 och NEJ på frågorna 4,5,6,9 &amp; 12 anses försöket vara av HÖG TILLFÖRLITLIGHET.</t>
  </si>
  <si>
    <t>HÖG TILLFÖRLITLIGHET</t>
  </si>
  <si>
    <t>Om du svarat NEJ på någon av frågorna 1,2,3,7&amp;8 eller JA på frågorna 4,5,6,9&amp;12 kan giltighten eller tillförlitligheten vara äventyrad.</t>
  </si>
  <si>
    <t>Hänvisa till dina förklaringar. Om dessa rättfärdigar giltigheten för datan kan rubriken/försöket fortf anses vara av hög tillförlitlighet</t>
  </si>
  <si>
    <t>Om du drar slutstasen att data har påverkats allvarligt måste du bedöma rubriken / försöket som av LÅG TILLFÖRLITLIGHET</t>
  </si>
  <si>
    <t xml:space="preserve">Notera att skadegörarnas nivåer/enhetlighet och grödans kvalitet är nyckelparametrar för försökets kvalitet och måste vara </t>
  </si>
  <si>
    <t>acceptabla för att kunna ange HÖG TILLFÖRLITLIGHET vid respektive rubrik.</t>
  </si>
  <si>
    <t>BAR</t>
  </si>
  <si>
    <t>ML/MIN</t>
  </si>
  <si>
    <t>KPH</t>
  </si>
  <si>
    <t>Mix size</t>
  </si>
  <si>
    <t>pH</t>
  </si>
  <si>
    <t>HSLB-10</t>
  </si>
  <si>
    <t>L Sby Agrotop2</t>
  </si>
  <si>
    <t>Agrotop 2</t>
  </si>
  <si>
    <t>HSLB-11</t>
  </si>
  <si>
    <t>Skördedatum</t>
  </si>
  <si>
    <t>Skördedatum:</t>
  </si>
  <si>
    <t>Klövervall</t>
  </si>
  <si>
    <t>Gräsvall</t>
  </si>
  <si>
    <t xml:space="preserve">Behandlingsskador </t>
  </si>
  <si>
    <t>st  x</t>
  </si>
  <si>
    <t>+ ev skyddsrutor</t>
  </si>
  <si>
    <t>HS-Gotland</t>
  </si>
  <si>
    <t>HS-Halland</t>
  </si>
  <si>
    <t>HS-Malmöhus</t>
  </si>
  <si>
    <t>HS-Sjuhärad</t>
  </si>
  <si>
    <t>HS-Skaraborg</t>
  </si>
  <si>
    <t>HS-Kalmar</t>
  </si>
  <si>
    <t>HS-Östergötland</t>
  </si>
  <si>
    <t>HS-L Kristianstad</t>
  </si>
  <si>
    <t>HS-L Österlen</t>
  </si>
  <si>
    <t>Sterf</t>
  </si>
  <si>
    <t>HSLA-45</t>
  </si>
  <si>
    <t>HSLA-46</t>
  </si>
  <si>
    <t>HSLA-48</t>
  </si>
  <si>
    <t>HSM-11</t>
  </si>
  <si>
    <t>HSM-66</t>
  </si>
  <si>
    <t>HSKon-56</t>
  </si>
  <si>
    <t>HSPR-3.6</t>
  </si>
  <si>
    <t>HSPR-3.2</t>
  </si>
  <si>
    <t>N Hardi Twin</t>
  </si>
  <si>
    <t>Hardi Twin</t>
  </si>
  <si>
    <t>HSN-20</t>
  </si>
  <si>
    <t>Våroljev</t>
  </si>
  <si>
    <t>Klöverfrö</t>
  </si>
  <si>
    <t>Vall/Betesmark</t>
  </si>
  <si>
    <t>Gräsfrö</t>
  </si>
  <si>
    <t>Morötter</t>
  </si>
  <si>
    <t>G5</t>
  </si>
  <si>
    <t>G6</t>
  </si>
  <si>
    <t>Gradering i obeh</t>
  </si>
  <si>
    <r>
      <rPr>
        <b/>
        <u/>
        <sz val="12"/>
        <rFont val="Arial"/>
        <family val="2"/>
      </rPr>
      <t>B E H A N D L I N G</t>
    </r>
    <r>
      <rPr>
        <u/>
        <sz val="12"/>
        <rFont val="Arial"/>
        <family val="2"/>
      </rPr>
      <t xml:space="preserve"> :  T I D P U NK T och G R A D E R I N G   I   O B E H</t>
    </r>
  </si>
  <si>
    <t>Graderingsprotokoll , obehandlad ruta</t>
  </si>
  <si>
    <t>Välj gröda:</t>
  </si>
  <si>
    <t>Sidan 1</t>
  </si>
  <si>
    <t>ADB:nr</t>
  </si>
  <si>
    <t>Utv.stad. BBCH</t>
  </si>
  <si>
    <t>Signatur</t>
  </si>
  <si>
    <t>Sjukdom</t>
  </si>
  <si>
    <t>Blad-</t>
  </si>
  <si>
    <t>blad nr</t>
  </si>
  <si>
    <t>antal</t>
  </si>
  <si>
    <t>nivå</t>
  </si>
  <si>
    <t>Medel</t>
  </si>
  <si>
    <t>vissna</t>
  </si>
  <si>
    <t>Block I</t>
  </si>
  <si>
    <t>Vete</t>
  </si>
  <si>
    <t>ERYSGR</t>
  </si>
  <si>
    <t>Mjöldagg</t>
  </si>
  <si>
    <t>Ruta nr</t>
  </si>
  <si>
    <t>PUCCRE</t>
  </si>
  <si>
    <t>Brunrost</t>
  </si>
  <si>
    <t>PUCCST</t>
  </si>
  <si>
    <t>Gulrost</t>
  </si>
  <si>
    <t>SEPTTR</t>
  </si>
  <si>
    <t>Svartpricksjuka</t>
  </si>
  <si>
    <t>PYRNTR</t>
  </si>
  <si>
    <t>DTR</t>
  </si>
  <si>
    <t>RHYNSE</t>
  </si>
  <si>
    <t>Sköldfläcksjuka</t>
  </si>
  <si>
    <t xml:space="preserve">  </t>
  </si>
  <si>
    <t>Korn</t>
  </si>
  <si>
    <t>PUCCHD</t>
  </si>
  <si>
    <t>Kornrost</t>
  </si>
  <si>
    <t>PYRNTE</t>
  </si>
  <si>
    <t>Bladfläcksjuka</t>
  </si>
  <si>
    <t>PUCCCA</t>
  </si>
  <si>
    <t>Kronrost</t>
  </si>
  <si>
    <t>PYRNAV</t>
  </si>
  <si>
    <t>PSEUSY</t>
  </si>
  <si>
    <t>Bladbakterios</t>
  </si>
  <si>
    <t>Block II</t>
  </si>
  <si>
    <t>Sidan 2</t>
  </si>
  <si>
    <t>Block III</t>
  </si>
  <si>
    <t>Block IV</t>
  </si>
  <si>
    <t>Medeltal 4 block</t>
  </si>
  <si>
    <t>Bladnivå</t>
  </si>
  <si>
    <t>% angrepp</t>
  </si>
  <si>
    <t>Andel vissna</t>
  </si>
  <si>
    <t>COV</t>
  </si>
  <si>
    <t>WED</t>
  </si>
  <si>
    <t>PYRNGR</t>
  </si>
  <si>
    <t>Strimsjuka korn</t>
  </si>
  <si>
    <t>HYMECE</t>
  </si>
  <si>
    <t>Gulstrimsj vete</t>
  </si>
  <si>
    <t>TILLCA</t>
  </si>
  <si>
    <t>stinksot</t>
  </si>
  <si>
    <t>TILLCO</t>
  </si>
  <si>
    <t>dvärgstinksot</t>
  </si>
  <si>
    <t>USTINH</t>
  </si>
  <si>
    <t>flygsot på korn</t>
  </si>
  <si>
    <t>USTIAV</t>
  </si>
  <si>
    <t>flygsot på havre</t>
  </si>
  <si>
    <t>USTIHO</t>
  </si>
  <si>
    <t>hårdsot korn</t>
  </si>
  <si>
    <t>MYCOTA</t>
  </si>
  <si>
    <t>Sotdagg</t>
  </si>
  <si>
    <t>FUSACU</t>
  </si>
  <si>
    <t>Axfusarios</t>
  </si>
  <si>
    <t>FUSASP</t>
  </si>
  <si>
    <t>Fusarios, snömög.</t>
  </si>
  <si>
    <t>BOTRSP</t>
  </si>
  <si>
    <t>Gråmögel</t>
  </si>
  <si>
    <t>CLAVPU</t>
  </si>
  <si>
    <t>Mjöldryga</t>
  </si>
  <si>
    <t>GAEUGR</t>
  </si>
  <si>
    <t>Rotdödare</t>
  </si>
  <si>
    <t>PSDCHE</t>
  </si>
  <si>
    <t>Stråknäck ve/ko</t>
  </si>
  <si>
    <t>PSDCHA</t>
  </si>
  <si>
    <t>Stråknäck rå/r-ve</t>
  </si>
  <si>
    <t>RHIZCE</t>
  </si>
  <si>
    <t>Skarp ögonfläck</t>
  </si>
  <si>
    <t>TYPHIN</t>
  </si>
  <si>
    <t>Röd trådklubba</t>
  </si>
  <si>
    <t>Obehandlat led = led</t>
  </si>
  <si>
    <t>Ob1</t>
  </si>
  <si>
    <t>Ob2</t>
  </si>
  <si>
    <t>Ob3</t>
  </si>
  <si>
    <t>Ob4</t>
  </si>
  <si>
    <t>Örter</t>
  </si>
  <si>
    <t>Stråsäd och andra gräs</t>
  </si>
  <si>
    <t>Blomknoppar finns täckta av bl</t>
  </si>
  <si>
    <t>1:a bl-knoppar synl ej täckta av blad</t>
  </si>
  <si>
    <t>Individuella bl-kn synl, fortf slutna</t>
  </si>
  <si>
    <t>1:a bl utanf koleopt</t>
  </si>
  <si>
    <t>PESSEV</t>
  </si>
  <si>
    <t>Data laddas upp på husec.se. Ifyllda fältkort &amp; data till</t>
  </si>
  <si>
    <t>Torbjörn Ewaldz</t>
  </si>
  <si>
    <t>Lennart Pålsson</t>
  </si>
  <si>
    <t>Lars Wiik</t>
  </si>
  <si>
    <t xml:space="preserve">, HUSEC AB,  </t>
  </si>
  <si>
    <t>BBCH 65-69</t>
  </si>
  <si>
    <t>Övrigt:</t>
  </si>
  <si>
    <t>Lars.Wiik@hush.se 046-71 36 79</t>
  </si>
  <si>
    <t>Obehandlat/Jämförelseled = led</t>
  </si>
  <si>
    <t>Behandling och dos, (kg,L/ha) vid tidpunkt</t>
  </si>
  <si>
    <t xml:space="preserve">Led </t>
  </si>
  <si>
    <t>Betn+sprutn</t>
  </si>
  <si>
    <t>B1</t>
  </si>
  <si>
    <t>B2</t>
  </si>
  <si>
    <t>B3</t>
  </si>
  <si>
    <t>BBCH 12-13</t>
  </si>
  <si>
    <t>P1</t>
  </si>
  <si>
    <t>P2</t>
  </si>
  <si>
    <t>P3</t>
  </si>
  <si>
    <t>grad</t>
  </si>
  <si>
    <t>Dvärgstinksot (TILLCO)</t>
  </si>
  <si>
    <t>Stinksot (TILLCA)</t>
  </si>
  <si>
    <t>Flygsot på korn (USTINH)</t>
  </si>
  <si>
    <t>Täckt sot på havre (USTIHA)</t>
  </si>
  <si>
    <t>Flygsot på vete (USTINT)</t>
  </si>
  <si>
    <t>Bladfl-sj havre, primsympt (PYRNAV)</t>
  </si>
  <si>
    <t>Svartfläcksjuka (ALTEBA)</t>
  </si>
  <si>
    <t>Jordloppor (PHYESP)</t>
  </si>
  <si>
    <t>Rapsjordloppan (PSYICH)</t>
  </si>
  <si>
    <t>Beställningsförsök</t>
  </si>
  <si>
    <t>Graderingar rutvis</t>
  </si>
  <si>
    <t>PL.2M</t>
  </si>
  <si>
    <t>ALTEBA</t>
  </si>
  <si>
    <t>No/plant</t>
  </si>
  <si>
    <t>Antal per planta</t>
  </si>
  <si>
    <t>No/50pl</t>
  </si>
  <si>
    <t>Antal/50 plantor</t>
  </si>
  <si>
    <t>Angr yta, %</t>
  </si>
  <si>
    <t>No/25pl</t>
  </si>
  <si>
    <t>Antal/25 plantor</t>
  </si>
  <si>
    <t>DIS/2m</t>
  </si>
  <si>
    <t>Angr pl/2m</t>
  </si>
  <si>
    <t>Ant plantor/2m</t>
  </si>
  <si>
    <t>Ax/2m</t>
  </si>
  <si>
    <t>DIS ax/2m</t>
  </si>
  <si>
    <t>Antal ax/2m</t>
  </si>
  <si>
    <t>Angr ax/2m</t>
  </si>
  <si>
    <t>Pre-pre-crop:</t>
  </si>
  <si>
    <t>Ärt &amp; böna</t>
  </si>
  <si>
    <t>Lin &amp; hampa</t>
  </si>
  <si>
    <t>Groddbränna (RHIZSP)</t>
  </si>
  <si>
    <t>Hårdsot på korn (USTIHO)</t>
  </si>
  <si>
    <t>Flygsot på havre (USTIAV)</t>
  </si>
  <si>
    <t>Radavstånd, cm</t>
  </si>
  <si>
    <t>Radavst:</t>
  </si>
  <si>
    <t>Såtidpunkt, radavstånd, gödsling, växtskydd etc noteras i basdata.</t>
  </si>
  <si>
    <t>Behandling med insekticider mot uppkomstskadegörare får inte göras i försöket</t>
  </si>
  <si>
    <t>Bladfl-sj korn, primsympt (PYRNTE)</t>
  </si>
  <si>
    <t>SOP1: Key Questions</t>
  </si>
  <si>
    <t>Typ/nr</t>
  </si>
  <si>
    <t>Utv.st.</t>
  </si>
  <si>
    <t>Probv</t>
  </si>
  <si>
    <t>CV</t>
  </si>
  <si>
    <t>LSD</t>
  </si>
  <si>
    <t>Tot</t>
  </si>
  <si>
    <t>SS</t>
  </si>
  <si>
    <t>df</t>
  </si>
  <si>
    <t>MS</t>
  </si>
  <si>
    <t>F</t>
  </si>
  <si>
    <t>Fytotoxiska skador</t>
  </si>
  <si>
    <t>Visa led:</t>
  </si>
  <si>
    <t>bl 1 frambryt / hj-bl gnm myta</t>
  </si>
  <si>
    <t>bl 1 utanf k-optil/ hj-bl utv</t>
  </si>
  <si>
    <t>1x</t>
  </si>
  <si>
    <t>X blad  utv        x örtblad utv</t>
  </si>
  <si>
    <t>2x</t>
  </si>
  <si>
    <t>h-skott + x sidoskott gräs</t>
  </si>
  <si>
    <t>plant-sträckning</t>
  </si>
  <si>
    <t>3x</t>
  </si>
  <si>
    <t>x noder gräs / x internoder ört</t>
  </si>
  <si>
    <t>4x</t>
  </si>
  <si>
    <t>5x</t>
  </si>
  <si>
    <t>axgång gräs knoppstad ört</t>
  </si>
  <si>
    <t>6x</t>
  </si>
  <si>
    <t>blomning gräs och ört</t>
  </si>
  <si>
    <t>7x</t>
  </si>
  <si>
    <t xml:space="preserve">mj-mog gräs längd skida </t>
  </si>
  <si>
    <t>8x</t>
  </si>
  <si>
    <t>deg-mog gräs mognad ört</t>
  </si>
  <si>
    <t>9x</t>
  </si>
  <si>
    <t>sk-mogn gräs nedvissn ört</t>
  </si>
  <si>
    <t>ex 65</t>
  </si>
  <si>
    <t>axets vidgning (gräs)</t>
  </si>
  <si>
    <t>BBCH 73–92</t>
  </si>
  <si>
    <t>BBCH 60–69</t>
  </si>
  <si>
    <t>BBCH 51–59</t>
  </si>
  <si>
    <t>BBCH 12–14</t>
  </si>
  <si>
    <t>BBCH 21–29</t>
  </si>
  <si>
    <t>BBCH 12-29</t>
  </si>
  <si>
    <t>BBCH 10-11</t>
  </si>
  <si>
    <t>Agan Chemical Manufacturers Ltd</t>
  </si>
  <si>
    <t>Agronova / Gefion</t>
  </si>
  <si>
    <t>Bayer</t>
  </si>
  <si>
    <t>Cheminova</t>
  </si>
  <si>
    <t>Chemtura Europe Limited</t>
  </si>
  <si>
    <t>Eurofins Agroscience Services Gmbh</t>
  </si>
  <si>
    <t>Feinchemie Schwebda GmbH</t>
  </si>
  <si>
    <t>Gyllebo</t>
  </si>
  <si>
    <t>Incotec</t>
  </si>
  <si>
    <t>Irvita Plant Protection N.V.</t>
  </si>
  <si>
    <t>Jordbruksverket</t>
  </si>
  <si>
    <t>Lantbrukarnas RiksFörbund</t>
  </si>
  <si>
    <t>Lantmännen BioAgri AB</t>
  </si>
  <si>
    <t>Lm SW Seed</t>
  </si>
  <si>
    <t>Lovang</t>
  </si>
  <si>
    <t>NBR</t>
  </si>
  <si>
    <t>Quena Plant Protection N.V.</t>
  </si>
  <si>
    <t>SJV</t>
  </si>
  <si>
    <t>SLU</t>
  </si>
  <si>
    <t>Sumi Agro Europe Limited</t>
  </si>
  <si>
    <t>YARA</t>
  </si>
  <si>
    <t>PP</t>
  </si>
  <si>
    <t>Ppnamn</t>
  </si>
  <si>
    <t>Resultat av graderingar mm läggs in på respektive försök (ADB-nr) på</t>
  </si>
  <si>
    <t>Brunfläcksjuka (LEPTNO)</t>
  </si>
  <si>
    <t>Bipolaris (COCHSA)</t>
  </si>
  <si>
    <t>Axfusarios (FUSACO)</t>
  </si>
  <si>
    <t>Strimsjuka (PYRNGR)</t>
  </si>
  <si>
    <t>BBCH 10</t>
  </si>
  <si>
    <t>+12-16 dagar</t>
  </si>
  <si>
    <t>BBCH 13-15</t>
  </si>
  <si>
    <t>+5-7 dagar</t>
  </si>
  <si>
    <t>+24-30 dagar</t>
  </si>
  <si>
    <t>Väderdata skall kunna redovisas för platsen. Närliggande meteorologisk station kan användas, gärna klimatstation. Minimum behövs daglig nederbörd samt min-, max- och medeltemperatur under 14 dagar före T1 till 28 dagar efter sista behandlingstillfället.</t>
  </si>
  <si>
    <t>046-71 36 73</t>
  </si>
  <si>
    <t>Lennart.Pålsson@hush.se 046-71 36 79</t>
  </si>
  <si>
    <t>Plats</t>
  </si>
  <si>
    <t>Försöksnr, t ex 45:</t>
  </si>
  <si>
    <t>Län:</t>
  </si>
  <si>
    <t>Gröda</t>
  </si>
  <si>
    <t>Försöksnr, automatiskt</t>
  </si>
  <si>
    <t>Tfn till försöksvärd:</t>
  </si>
  <si>
    <t xml:space="preserve">Försöket ligger (m) </t>
  </si>
  <si>
    <t>i (t ex NV)</t>
  </si>
  <si>
    <t>Parcellens långsida pekar mot</t>
  </si>
  <si>
    <t>frön/m</t>
  </si>
  <si>
    <t>frön/ha</t>
  </si>
  <si>
    <t>kg/ha</t>
  </si>
  <si>
    <t>Pasture</t>
  </si>
  <si>
    <t>Fänkål</t>
  </si>
  <si>
    <t>Fennel</t>
  </si>
  <si>
    <t>Grass ley</t>
  </si>
  <si>
    <t>Spring oats</t>
  </si>
  <si>
    <t>Winter barley</t>
  </si>
  <si>
    <t>Winter OSR</t>
  </si>
  <si>
    <t>Höstråg</t>
  </si>
  <si>
    <t>Winter wheat</t>
  </si>
  <si>
    <t>Strawberry</t>
  </si>
  <si>
    <t>Clover ley</t>
  </si>
  <si>
    <t>Flax/Linseed</t>
  </si>
  <si>
    <t>Lök</t>
  </si>
  <si>
    <t>Onion</t>
  </si>
  <si>
    <t>Maize</t>
  </si>
  <si>
    <t>Potato</t>
  </si>
  <si>
    <t>Raps</t>
  </si>
  <si>
    <t>Oil seed rape</t>
  </si>
  <si>
    <t>Triticale</t>
  </si>
  <si>
    <t>Forest plants</t>
  </si>
  <si>
    <t>Sockerbetor</t>
  </si>
  <si>
    <t>Sugar beets</t>
  </si>
  <si>
    <t>Stråsäd</t>
  </si>
  <si>
    <t>Cereals</t>
  </si>
  <si>
    <t>Fallow</t>
  </si>
  <si>
    <t>Spring barley</t>
  </si>
  <si>
    <t>Spring OSR</t>
  </si>
  <si>
    <t>Spring wheat</t>
  </si>
  <si>
    <t>Peas</t>
  </si>
  <si>
    <t>Carrots</t>
  </si>
  <si>
    <t xml:space="preserve">Finns skyddsrutor? </t>
  </si>
  <si>
    <t>Blocken ligger &gt;&gt;</t>
  </si>
  <si>
    <t>Herbicider använda i föreg års gröda</t>
  </si>
  <si>
    <t>Tel:</t>
  </si>
  <si>
    <t>Ffr:</t>
  </si>
  <si>
    <t>F1:</t>
  </si>
  <si>
    <t>G1:</t>
  </si>
  <si>
    <t>F2:</t>
  </si>
  <si>
    <t>G2:</t>
  </si>
  <si>
    <t>F3:</t>
  </si>
  <si>
    <t>G3:</t>
  </si>
  <si>
    <t>F4:</t>
  </si>
  <si>
    <t>F5:</t>
  </si>
  <si>
    <t>F6:</t>
  </si>
  <si>
    <t>G4:</t>
  </si>
  <si>
    <t>G5:</t>
  </si>
  <si>
    <t>Fyll i övr fältbehandlingar NEDAN</t>
  </si>
  <si>
    <t>Winter rye</t>
  </si>
  <si>
    <t>Snömögel (MONGNI)</t>
  </si>
  <si>
    <t>ett</t>
  </si>
  <si>
    <t>två</t>
  </si>
  <si>
    <t>tre</t>
  </si>
  <si>
    <t>X blad  utv        
x örtblad utv</t>
  </si>
  <si>
    <t>plant-
sträckning</t>
  </si>
  <si>
    <t>x noder gräs / 
x internoder ört</t>
  </si>
  <si>
    <t>axets vidgning (endast gräs)</t>
  </si>
  <si>
    <t>blomning 
gräs och ört</t>
  </si>
  <si>
    <t>deg-mogn gräs mognad ört</t>
  </si>
  <si>
    <t xml:space="preserve">mj-mogn gräs längd skida </t>
  </si>
  <si>
    <t>bl 1 frambryt / 
hj-bl gnm m-yta</t>
  </si>
  <si>
    <t>Fytotox*</t>
  </si>
  <si>
    <t>Oblig. typer enl beställaren (se förklaring i protokoll)</t>
  </si>
  <si>
    <t>Serie</t>
  </si>
  <si>
    <t>Plats:</t>
  </si>
  <si>
    <t>Råskörd</t>
  </si>
  <si>
    <t>Obehandlat</t>
  </si>
  <si>
    <t>X</t>
  </si>
  <si>
    <t>Anteckningar:</t>
  </si>
  <si>
    <t>Övriga behandlingar i försöket (gödsling, ogräs och växtskydd)</t>
  </si>
  <si>
    <t>0300 J E 59 1 SE 2013-03-21 13:29 HUSEC GEP/ÖVERFÖRINGSFIL</t>
  </si>
  <si>
    <t>Start</t>
  </si>
  <si>
    <t>Stop</t>
  </si>
  <si>
    <t>Time to next moist</t>
  </si>
  <si>
    <t>Sprayer</t>
  </si>
  <si>
    <t>Code</t>
  </si>
  <si>
    <t>Pressure</t>
  </si>
  <si>
    <t>Unit</t>
  </si>
  <si>
    <t>Nozzle Type</t>
  </si>
  <si>
    <t>Nozzle Size</t>
  </si>
  <si>
    <t>Nozzle spacing</t>
  </si>
  <si>
    <t>Nozzles/Row</t>
  </si>
  <si>
    <t>Nozzle calibration</t>
  </si>
  <si>
    <t>Time to treat 1plot</t>
  </si>
  <si>
    <t>%cover</t>
  </si>
  <si>
    <t>Row sides applied</t>
  </si>
  <si>
    <t>Boom ID</t>
  </si>
  <si>
    <t>Boom length</t>
  </si>
  <si>
    <t>Boom height</t>
  </si>
  <si>
    <t>Ground speed</t>
  </si>
  <si>
    <t>Incorp</t>
  </si>
  <si>
    <t>Hours</t>
  </si>
  <si>
    <t>Incorp depth</t>
  </si>
  <si>
    <t>Carrier</t>
  </si>
  <si>
    <t>Water hardness</t>
  </si>
  <si>
    <t>Spray volume</t>
  </si>
  <si>
    <t>Propellant</t>
  </si>
  <si>
    <t>Tank mix (Y/N)</t>
  </si>
  <si>
    <t>L</t>
  </si>
  <si>
    <t>Radavstånd,cm</t>
  </si>
  <si>
    <t>Wilted</t>
  </si>
  <si>
    <t>Om gröda saknas i lista, skriv in i ruta till höger så dyker grödan upp i listan:</t>
  </si>
  <si>
    <t>T3 date</t>
  </si>
  <si>
    <t>T3 BBCH</t>
  </si>
  <si>
    <t>T3 Trtm</t>
  </si>
  <si>
    <t>T4 date</t>
  </si>
  <si>
    <t>T4 BBCH</t>
  </si>
  <si>
    <t>T4 Trtm</t>
  </si>
  <si>
    <t>Herbicid fg år</t>
  </si>
  <si>
    <t>SOP1</t>
  </si>
  <si>
    <t>Fyll i flik SOP1 när alla åtgärder är utförda.</t>
  </si>
  <si>
    <t>HSI</t>
  </si>
  <si>
    <t>HSN</t>
  </si>
  <si>
    <t>HSH</t>
  </si>
  <si>
    <t>HSK</t>
  </si>
  <si>
    <t>HSLÖ</t>
  </si>
  <si>
    <t>HSLK</t>
  </si>
  <si>
    <t>HSM</t>
  </si>
  <si>
    <t>HS7</t>
  </si>
  <si>
    <t>HSR</t>
  </si>
  <si>
    <t>HSE</t>
  </si>
  <si>
    <t>MAK</t>
  </si>
  <si>
    <t>Agr</t>
  </si>
  <si>
    <t>BAS</t>
  </si>
  <si>
    <t>Bay</t>
  </si>
  <si>
    <t>Bio</t>
  </si>
  <si>
    <t>Chn</t>
  </si>
  <si>
    <t>Cht</t>
  </si>
  <si>
    <t>DuP</t>
  </si>
  <si>
    <t>EAS</t>
  </si>
  <si>
    <t>Gyl</t>
  </si>
  <si>
    <t>Inc</t>
  </si>
  <si>
    <t>LRF</t>
  </si>
  <si>
    <t>LBA</t>
  </si>
  <si>
    <t>SWS</t>
  </si>
  <si>
    <t>Lov</t>
  </si>
  <si>
    <t>NA</t>
  </si>
  <si>
    <t>Nuf</t>
  </si>
  <si>
    <t>Ste</t>
  </si>
  <si>
    <t>SAE</t>
  </si>
  <si>
    <t>Syn</t>
  </si>
  <si>
    <t>YAR</t>
  </si>
  <si>
    <t>SPRUTA</t>
  </si>
  <si>
    <t>LD-03-110</t>
  </si>
  <si>
    <t>Avst</t>
  </si>
  <si>
    <t>Hardi Flatfan</t>
  </si>
  <si>
    <t>Teejet Flatfan</t>
  </si>
  <si>
    <t>Lurmark Flatfan</t>
  </si>
  <si>
    <t>Mn235</t>
  </si>
  <si>
    <t>Fung/Ins</t>
  </si>
  <si>
    <t>OBS! Ett prep/ruta!</t>
  </si>
  <si>
    <t>Gödselm.</t>
  </si>
  <si>
    <t>Herbicid</t>
  </si>
  <si>
    <t>Winter cereals</t>
  </si>
  <si>
    <t>Spring cereals</t>
  </si>
  <si>
    <t>Datum år-mån-dag ex 2013-05-11</t>
  </si>
  <si>
    <t>1-01</t>
  </si>
  <si>
    <t>2-01</t>
  </si>
  <si>
    <t>3-01</t>
  </si>
  <si>
    <t>4-01</t>
  </si>
  <si>
    <t>1-02</t>
  </si>
  <si>
    <t>2-02</t>
  </si>
  <si>
    <t>3-02</t>
  </si>
  <si>
    <t>4-02</t>
  </si>
  <si>
    <t>1-03</t>
  </si>
  <si>
    <t>2-03</t>
  </si>
  <si>
    <t>3-03</t>
  </si>
  <si>
    <t>4-03</t>
  </si>
  <si>
    <t>1-04</t>
  </si>
  <si>
    <t>2-04</t>
  </si>
  <si>
    <t>3-04</t>
  </si>
  <si>
    <t>4-04</t>
  </si>
  <si>
    <t>1-05</t>
  </si>
  <si>
    <t>2-05</t>
  </si>
  <si>
    <t>3-05</t>
  </si>
  <si>
    <t>4-05</t>
  </si>
  <si>
    <t>1-06</t>
  </si>
  <si>
    <t>2-06</t>
  </si>
  <si>
    <t>3-06</t>
  </si>
  <si>
    <t>4-06</t>
  </si>
  <si>
    <t>1-07</t>
  </si>
  <si>
    <t>2-07</t>
  </si>
  <si>
    <t>3-07</t>
  </si>
  <si>
    <t>4-07</t>
  </si>
  <si>
    <t>1-08</t>
  </si>
  <si>
    <t>2-08</t>
  </si>
  <si>
    <t>3-08</t>
  </si>
  <si>
    <t>4-08</t>
  </si>
  <si>
    <t>1-09</t>
  </si>
  <si>
    <t>2-09</t>
  </si>
  <si>
    <t>3-09</t>
  </si>
  <si>
    <t>4-09</t>
  </si>
  <si>
    <t>1-10</t>
  </si>
  <si>
    <t>2-10</t>
  </si>
  <si>
    <t>3-10</t>
  </si>
  <si>
    <t>4-10</t>
  </si>
  <si>
    <t>1-11</t>
  </si>
  <si>
    <t>2-11</t>
  </si>
  <si>
    <t>3-11</t>
  </si>
  <si>
    <t>4-11</t>
  </si>
  <si>
    <t>1-12</t>
  </si>
  <si>
    <t>2-12</t>
  </si>
  <si>
    <t>3-12</t>
  </si>
  <si>
    <t>4-12</t>
  </si>
  <si>
    <t>1-13</t>
  </si>
  <si>
    <t>2-13</t>
  </si>
  <si>
    <t>3-13</t>
  </si>
  <si>
    <t>4-13</t>
  </si>
  <si>
    <t>1-14</t>
  </si>
  <si>
    <t>2-14</t>
  </si>
  <si>
    <t>3-14</t>
  </si>
  <si>
    <t>4-14</t>
  </si>
  <si>
    <t>1-15</t>
  </si>
  <si>
    <t>2-15</t>
  </si>
  <si>
    <t>3-15</t>
  </si>
  <si>
    <t>4-15</t>
  </si>
  <si>
    <t>1-16</t>
  </si>
  <si>
    <t>2-16</t>
  </si>
  <si>
    <t>3-16</t>
  </si>
  <si>
    <t>4-16</t>
  </si>
  <si>
    <t>1-17</t>
  </si>
  <si>
    <t>2-17</t>
  </si>
  <si>
    <t>3-17</t>
  </si>
  <si>
    <t>4-17</t>
  </si>
  <si>
    <t>Behandling</t>
  </si>
  <si>
    <t>BBCH 30</t>
  </si>
  <si>
    <t>T1=</t>
  </si>
  <si>
    <t>Rutvisa svampgraderingar</t>
  </si>
  <si>
    <t>Förklaring</t>
  </si>
  <si>
    <t>Graderingar i obehandlat</t>
  </si>
  <si>
    <t>Rutvisa graderingar</t>
  </si>
  <si>
    <t>Ob5</t>
  </si>
  <si>
    <t>Ob6</t>
  </si>
  <si>
    <t>Ob7</t>
  </si>
  <si>
    <t>T3</t>
  </si>
  <si>
    <t>Dis1</t>
  </si>
  <si>
    <t>Dis2</t>
  </si>
  <si>
    <t>Dis3</t>
  </si>
  <si>
    <t>Dis4</t>
  </si>
  <si>
    <t>Dis5</t>
  </si>
  <si>
    <t>Dis6</t>
  </si>
  <si>
    <t>+10 dagar</t>
  </si>
  <si>
    <t>+21-28 dagar</t>
  </si>
  <si>
    <t>+14-21 dagar</t>
  </si>
  <si>
    <t>+28-42 dagar</t>
  </si>
  <si>
    <t>BBCH  83</t>
  </si>
  <si>
    <t>BBCH 75</t>
  </si>
  <si>
    <t>BBCH 75-85</t>
  </si>
  <si>
    <t>Foliar diseases on cereals</t>
  </si>
  <si>
    <t>+15-20 dagar</t>
  </si>
  <si>
    <t>+30-40 dagar</t>
  </si>
  <si>
    <t>+15-30 dagar</t>
  </si>
  <si>
    <t>PP 1/1(4)</t>
  </si>
  <si>
    <t>Foliar diseases on sugarbeet</t>
  </si>
  <si>
    <t>+14-28 dagar</t>
  </si>
  <si>
    <t>BBCH 70-85</t>
  </si>
  <si>
    <t>BBCH 79-85</t>
  </si>
  <si>
    <t>BBCH 81-85</t>
  </si>
  <si>
    <t>BBCH 50</t>
  </si>
  <si>
    <t>BBCH 92</t>
  </si>
  <si>
    <t>PP 1/78(3)</t>
  </si>
  <si>
    <t>Root, stem, foliar and pod diseases of rape</t>
  </si>
  <si>
    <t>PP 1/172(2)</t>
  </si>
  <si>
    <t>Leaf and pod spots of pea</t>
  </si>
  <si>
    <t>at T</t>
  </si>
  <si>
    <t>BBCH 71-73</t>
  </si>
  <si>
    <t>strax f skörd</t>
  </si>
  <si>
    <t>Efter lagring</t>
  </si>
  <si>
    <t>Tillfälle</t>
  </si>
  <si>
    <t>Behandling med fungicider får inte göras i försöket</t>
  </si>
  <si>
    <r>
      <rPr>
        <b/>
        <u/>
        <sz val="10"/>
        <rFont val="Times New Roman"/>
        <family val="1"/>
      </rPr>
      <t>Vid alla tillfällen</t>
    </r>
    <r>
      <rPr>
        <u/>
        <sz val="10"/>
        <rFont val="Times New Roman"/>
        <family val="1"/>
      </rPr>
      <t>:</t>
    </r>
    <r>
      <rPr>
        <sz val="10"/>
        <rFont val="Times New Roman"/>
        <family val="1"/>
      </rPr>
      <t xml:space="preserve"> Ange utv.st. samt form av fytotox: kloroser, nekroser, påver-kan på tillväxt, förkortning, uttunning, missformning, allmän vigör. Fotografera gärna ev skador. Påverkan på andra organismer skall noteras om de uppträder.</t>
    </r>
  </si>
  <si>
    <t>Svamp-</t>
  </si>
  <si>
    <t>graderingar</t>
  </si>
  <si>
    <t>i obeh led.</t>
  </si>
  <si>
    <t>Graderingar av förekommande svampsjukdomar bl 1-4 ska göras vid alla beh-tillf samt:</t>
  </si>
  <si>
    <t>Använd protokoll Ob1</t>
  </si>
  <si>
    <t>Använd protokoll Ob2</t>
  </si>
  <si>
    <t>Använd protokoll Ob3</t>
  </si>
  <si>
    <t>Försöket ska inte skördas</t>
  </si>
  <si>
    <t>Försöket ska skördas</t>
  </si>
  <si>
    <t>Standard NIT-analys, ej tkv</t>
  </si>
  <si>
    <t>Försöket ska skördas.</t>
  </si>
  <si>
    <t>Skörd inkl stråstyrka</t>
  </si>
  <si>
    <t>Anläggning</t>
  </si>
  <si>
    <t>0708-16 10 74</t>
  </si>
  <si>
    <t>F3</t>
  </si>
  <si>
    <t>G6:</t>
  </si>
  <si>
    <t>Se PM</t>
  </si>
  <si>
    <t>Sprutning</t>
  </si>
  <si>
    <t>Kronrost havre</t>
  </si>
  <si>
    <t>PUCCGR</t>
  </si>
  <si>
    <t>Svartrost</t>
  </si>
  <si>
    <t>Brunrost råg/vete</t>
  </si>
  <si>
    <t>LEPTNO</t>
  </si>
  <si>
    <t>Brunfläcksjuka</t>
  </si>
  <si>
    <t>Bladflsjuka vete</t>
  </si>
  <si>
    <t>Bladflsjuka korn</t>
  </si>
  <si>
    <t>Bladflsjuka havre</t>
  </si>
  <si>
    <t>RAMUCC</t>
  </si>
  <si>
    <t>Ramularia korn</t>
  </si>
  <si>
    <t>SCLESC</t>
  </si>
  <si>
    <t>Bomullsmögel</t>
  </si>
  <si>
    <t>LEPTMA</t>
  </si>
  <si>
    <t>Phoma</t>
  </si>
  <si>
    <t>Kransmögel</t>
  </si>
  <si>
    <t>VERTLO</t>
  </si>
  <si>
    <t>Kålbladmögel</t>
  </si>
  <si>
    <t>PEROPA</t>
  </si>
  <si>
    <t>Svartfläcksjuka</t>
  </si>
  <si>
    <t>Klumprotsjuka</t>
  </si>
  <si>
    <t>PLADBR</t>
  </si>
  <si>
    <t>Klass 0</t>
  </si>
  <si>
    <t>Klass 1</t>
  </si>
  <si>
    <t>Klass 2</t>
  </si>
  <si>
    <t>Klass 3</t>
  </si>
  <si>
    <t>Klass 4</t>
  </si>
  <si>
    <t>Klass 5</t>
  </si>
  <si>
    <t>Inget angrepp</t>
  </si>
  <si>
    <t>Svampgradering</t>
  </si>
  <si>
    <t>(Välj)</t>
  </si>
  <si>
    <r>
      <t xml:space="preserve">Koordinater WGS 84 decimal </t>
    </r>
    <r>
      <rPr>
        <sz val="7"/>
        <rFont val="Arial"/>
        <family val="2"/>
      </rPr>
      <t>(ex 55.12345 &amp; 12.34567)</t>
    </r>
    <r>
      <rPr>
        <sz val="8"/>
        <rFont val="Arial"/>
        <family val="2"/>
      </rPr>
      <t>:</t>
    </r>
  </si>
  <si>
    <t xml:space="preserve">Vid behov </t>
  </si>
  <si>
    <t>skriv in här</t>
  </si>
  <si>
    <t>Signum</t>
  </si>
  <si>
    <t>-</t>
  </si>
  <si>
    <t>% på blad</t>
  </si>
  <si>
    <t>2013/14</t>
  </si>
  <si>
    <t>Utlagt</t>
  </si>
  <si>
    <t>Kundens serienr:</t>
  </si>
  <si>
    <t>Utförs av Hushållningssällskapet. Utsäde från</t>
  </si>
  <si>
    <t>Behandling med normal standardutrustning. Spaltspridare, medium duschkvalitet,</t>
  </si>
  <si>
    <t>Accurate</t>
  </si>
  <si>
    <t>Acrobat WG</t>
  </si>
  <si>
    <t>N34</t>
  </si>
  <si>
    <t>Ally Class 50 WG</t>
  </si>
  <si>
    <t>Aliette 80 WG</t>
  </si>
  <si>
    <t>Atlantis OD</t>
  </si>
  <si>
    <t>Banjo Forte</t>
  </si>
  <si>
    <t>Attribut SG 70</t>
  </si>
  <si>
    <t>Banner Maxx</t>
  </si>
  <si>
    <t>Barclay Bolt XL</t>
  </si>
  <si>
    <t>Balance SX</t>
  </si>
  <si>
    <t>Basamid Granulat</t>
  </si>
  <si>
    <t>Barclay D-quat</t>
  </si>
  <si>
    <t>BASF Forbel 750</t>
  </si>
  <si>
    <t>Barclay Gallup 360</t>
  </si>
  <si>
    <t>Bumper 25 EC</t>
  </si>
  <si>
    <t>Barclay Gallup Biograde 360</t>
  </si>
  <si>
    <t>Candit</t>
  </si>
  <si>
    <t>Barclay Gallup Hi-Aktiv</t>
  </si>
  <si>
    <t>Cantus</t>
  </si>
  <si>
    <t>Betanal Power</t>
  </si>
  <si>
    <t>Cymbal 45</t>
  </si>
  <si>
    <t>Betasana Duo</t>
  </si>
  <si>
    <t>Delan WG</t>
  </si>
  <si>
    <t>Betasana SC</t>
  </si>
  <si>
    <t>Epok 600 EC</t>
  </si>
  <si>
    <t>BIO Blast &amp; Ogräsättika Y 10%</t>
  </si>
  <si>
    <t>Frupica SC</t>
  </si>
  <si>
    <t>Broadway</t>
  </si>
  <si>
    <t>Headway</t>
  </si>
  <si>
    <t>Infinito</t>
  </si>
  <si>
    <t>Caliban Duo</t>
  </si>
  <si>
    <t>Kayak</t>
  </si>
  <si>
    <t>Cantor</t>
  </si>
  <si>
    <t>Latitude</t>
  </si>
  <si>
    <t>CDQ SX</t>
  </si>
  <si>
    <t>Leimay</t>
  </si>
  <si>
    <t>Centium 36 CS</t>
  </si>
  <si>
    <t>Medallion TL</t>
  </si>
  <si>
    <t>Chekker</t>
  </si>
  <si>
    <t>Mirador 250 SC</t>
  </si>
  <si>
    <t>Clinic</t>
  </si>
  <si>
    <t>Previcur Energy</t>
  </si>
  <si>
    <t>Diflanil 500 SC</t>
  </si>
  <si>
    <t>Proline EC 250</t>
  </si>
  <si>
    <t>Diqua</t>
  </si>
  <si>
    <t>Proplant</t>
  </si>
  <si>
    <t>Envision</t>
  </si>
  <si>
    <t>PS Stubbskydd</t>
  </si>
  <si>
    <t>Ethosat 500 SC</t>
  </si>
  <si>
    <t>Ranman</t>
  </si>
  <si>
    <t>Etna</t>
  </si>
  <si>
    <t>Ranman Top</t>
  </si>
  <si>
    <t>Revus</t>
  </si>
  <si>
    <t>Express 50 SX</t>
  </si>
  <si>
    <t>Revus Top</t>
  </si>
  <si>
    <t>Express 50 T</t>
  </si>
  <si>
    <t>Rizolex 50 SC</t>
  </si>
  <si>
    <t>Scala</t>
  </si>
  <si>
    <t>Shirlan</t>
  </si>
  <si>
    <t>Finalsan Ogräs Effekt koncentrat Proffs</t>
  </si>
  <si>
    <t>Flurostar 200</t>
  </si>
  <si>
    <t>Sportak EW</t>
  </si>
  <si>
    <t>Stereo 312.5 EC</t>
  </si>
  <si>
    <t>Fox 480 SC</t>
  </si>
  <si>
    <t>Switch 62.5 WG</t>
  </si>
  <si>
    <t>Foxtrot</t>
  </si>
  <si>
    <t>Tanos 50 WG</t>
  </si>
  <si>
    <t>Galera</t>
  </si>
  <si>
    <t>Teldor WG 50</t>
  </si>
  <si>
    <t>Gallery</t>
  </si>
  <si>
    <t>Tern 750 EC</t>
  </si>
  <si>
    <t>Glyfonova 360 SL</t>
  </si>
  <si>
    <t>Tilt 250 EC</t>
  </si>
  <si>
    <t>Glyfonova Bio</t>
  </si>
  <si>
    <t>Tilt Top 500 EC</t>
  </si>
  <si>
    <t>Glyfonova Supreme</t>
  </si>
  <si>
    <t>Topas 100 EC</t>
  </si>
  <si>
    <t>Glyphogan 480 SL</t>
  </si>
  <si>
    <t>Topsin WG</t>
  </si>
  <si>
    <t>Glyphomax</t>
  </si>
  <si>
    <t>Glyphomax 480</t>
  </si>
  <si>
    <t>Zignal</t>
  </si>
  <si>
    <t>Glyphomax Bio</t>
  </si>
  <si>
    <t>Glypper</t>
  </si>
  <si>
    <t>Admiral 10 EC</t>
  </si>
  <si>
    <t>Glypro Bio</t>
  </si>
  <si>
    <t>Apollo 50 SC</t>
  </si>
  <si>
    <t>Goliath</t>
  </si>
  <si>
    <t>Avaunt 150 EC</t>
  </si>
  <si>
    <t>Goltix SC 700</t>
  </si>
  <si>
    <t>Beta-Baythroid SC 025</t>
  </si>
  <si>
    <t>Goltix WG</t>
  </si>
  <si>
    <t>Biscaya OD 240</t>
  </si>
  <si>
    <t>Gratil 75 WG</t>
  </si>
  <si>
    <t>Calypso SC 480</t>
  </si>
  <si>
    <t>Harmony 50 SX</t>
  </si>
  <si>
    <t>Confidor WG 70</t>
  </si>
  <si>
    <t>Harmony Plus 50 SX</t>
  </si>
  <si>
    <t>Conserve</t>
  </si>
  <si>
    <t>Harmony Plus 50 T</t>
  </si>
  <si>
    <t>Danitron 5 SC</t>
  </si>
  <si>
    <t>Helmstar 75 WG</t>
  </si>
  <si>
    <t>DU-DIM 48 SC</t>
  </si>
  <si>
    <t>Hormotex 750</t>
  </si>
  <si>
    <t>Exemptor 10 GR</t>
  </si>
  <si>
    <t>Hussar OD</t>
  </si>
  <si>
    <t>Floramite 240 SC</t>
  </si>
  <si>
    <t>Kerb flo 400</t>
  </si>
  <si>
    <t>Forester</t>
  </si>
  <si>
    <t>Kvick Down Bio</t>
  </si>
  <si>
    <t>Hylobi Forest</t>
  </si>
  <si>
    <t>Legacy 500 SC</t>
  </si>
  <si>
    <t>Karate 2,5 WG</t>
  </si>
  <si>
    <t>Lexus 50WG</t>
  </si>
  <si>
    <t>K-Obiol EC 25</t>
  </si>
  <si>
    <t>Logo</t>
  </si>
  <si>
    <t>K-Obiol ULV6</t>
  </si>
  <si>
    <t>MaisTer</t>
  </si>
  <si>
    <t>Kohinor 70 WG</t>
  </si>
  <si>
    <t>Matrigon 72 SG</t>
  </si>
  <si>
    <t>Mavrik 2F</t>
  </si>
  <si>
    <t>Merit Forest WG</t>
  </si>
  <si>
    <t>Merit Turf</t>
  </si>
  <si>
    <t>NA Glyfosat</t>
  </si>
  <si>
    <t>Milbeknock</t>
  </si>
  <si>
    <t>Nautius</t>
  </si>
  <si>
    <t>Mospilan SG</t>
  </si>
  <si>
    <t>Nimbus CS</t>
  </si>
  <si>
    <t>Nissorun</t>
  </si>
  <si>
    <t>Nuance</t>
  </si>
  <si>
    <t>Plenum 50 WG</t>
  </si>
  <si>
    <t>Nufarm MCPA 750</t>
  </si>
  <si>
    <t>Pyretrum NA Emulsion</t>
  </si>
  <si>
    <t>Ogräsättika teknisk 24%</t>
  </si>
  <si>
    <t>Raptol</t>
  </si>
  <si>
    <t>Pico 750 WG</t>
  </si>
  <si>
    <t>Steward 30 WG</t>
  </si>
  <si>
    <t>Platform 40 WG</t>
  </si>
  <si>
    <t>Sumi-alpha 5 FW</t>
  </si>
  <si>
    <t>Platform 50 WG</t>
  </si>
  <si>
    <t>TEPPEKI</t>
  </si>
  <si>
    <t>Warrant 700 WG</t>
  </si>
  <si>
    <t>Proffs Kraft Ättika</t>
  </si>
  <si>
    <t>Vertimec</t>
  </si>
  <si>
    <t>Quad-Glob 200 SL</t>
  </si>
  <si>
    <t>Roundup</t>
  </si>
  <si>
    <t>Roundup Bioactive</t>
  </si>
  <si>
    <t>Roundup FL 360</t>
  </si>
  <si>
    <t>Roundup FL 540</t>
  </si>
  <si>
    <t>Roundup Flex</t>
  </si>
  <si>
    <t>Roundup Gold</t>
  </si>
  <si>
    <t>Roundup Gold ST</t>
  </si>
  <si>
    <t>Spotlight 24 EC</t>
  </si>
  <si>
    <t>Starane XL</t>
  </si>
  <si>
    <t>Stratego EC 250</t>
  </si>
  <si>
    <t>Symbol</t>
  </si>
  <si>
    <t>Titus WSB</t>
  </si>
  <si>
    <t>Tomahawk 180 EC</t>
  </si>
  <si>
    <t>Totril EC 225</t>
  </si>
  <si>
    <t>Touchdown Premium</t>
  </si>
  <si>
    <t>Trimmer 50 SG</t>
  </si>
  <si>
    <t>Verdys</t>
  </si>
  <si>
    <t>Angrepp per blad %, yta  (V=visset, skrivs in för varje sjkd</t>
  </si>
  <si>
    <t>&lt;&lt;sign</t>
  </si>
  <si>
    <t>Lantmännen</t>
  </si>
  <si>
    <t>HU-1433</t>
  </si>
  <si>
    <t>HUG065</t>
  </si>
  <si>
    <t>HUG066</t>
  </si>
  <si>
    <t>Avvikelserapport och anteckningar</t>
  </si>
  <si>
    <t>Övr anteckningar om händelser eller saker som kan ge info om försöket, t ex</t>
  </si>
  <si>
    <t>Avvikelserapport</t>
  </si>
  <si>
    <t>Rapport av avvikelser från det tänkta utförandet av försöket, t ex:</t>
  </si>
  <si>
    <t>Felsprutningar (skall även rapporteras direkt till HUSEC så att vi kan avgöra om försöket måste avbrytas)</t>
  </si>
  <si>
    <t>Om parcellstorleken förändrats eller parceller flyttats</t>
  </si>
  <si>
    <t xml:space="preserve">Skador i delar av eller hela försöket orsakade av djur, natur eller människa. </t>
  </si>
  <si>
    <t>Fel utförda graderingar, fel vid tröskning etc</t>
  </si>
  <si>
    <t>ex</t>
  </si>
  <si>
    <t>XX</t>
  </si>
  <si>
    <t xml:space="preserve">         Avvikelse</t>
  </si>
  <si>
    <t>Förslag på åtgärd</t>
  </si>
  <si>
    <t>Åtgärdsansvarig</t>
  </si>
  <si>
    <t>Avvikelse stängd*</t>
  </si>
  <si>
    <t>F-ansvarig medd.</t>
  </si>
  <si>
    <t>Vad?</t>
  </si>
  <si>
    <t>Sign</t>
  </si>
  <si>
    <t>*stängd= avvikelse åtgärdad och godkänd</t>
  </si>
  <si>
    <t>A</t>
  </si>
  <si>
    <t>B</t>
  </si>
  <si>
    <t>D</t>
  </si>
  <si>
    <t>G</t>
  </si>
  <si>
    <t>H</t>
  </si>
  <si>
    <t>J</t>
  </si>
  <si>
    <t>K</t>
  </si>
  <si>
    <t>M</t>
  </si>
  <si>
    <t>P</t>
  </si>
  <si>
    <t>Q</t>
  </si>
  <si>
    <t>medel /min/max</t>
  </si>
  <si>
    <t>v</t>
  </si>
  <si>
    <t>Angrepp per blad %, yta  (V=visset, skrivs in för 4:e sjkd)</t>
  </si>
  <si>
    <t>14339</t>
  </si>
  <si>
    <t>14339-2</t>
  </si>
  <si>
    <t>14339-3</t>
  </si>
  <si>
    <t>Untreated</t>
  </si>
  <si>
    <t>Imtrex + Comet</t>
  </si>
  <si>
    <t>Imtrex</t>
  </si>
  <si>
    <t xml:space="preserve">Proline EC250 + Comet </t>
  </si>
  <si>
    <t>Siltra Xpro</t>
  </si>
  <si>
    <t>Siltra Xpro + Comet</t>
  </si>
  <si>
    <t>Proline EC250</t>
  </si>
  <si>
    <t>1.0 + 0.5</t>
  </si>
  <si>
    <t>0.4 + 0.5</t>
  </si>
  <si>
    <t>0.5 + 0.5</t>
  </si>
  <si>
    <t>PP 1/26(4)</t>
  </si>
  <si>
    <t>BBCH 37-39</t>
  </si>
  <si>
    <t>1.0</t>
  </si>
  <si>
    <t>0.4</t>
  </si>
  <si>
    <t>0.5</t>
  </si>
  <si>
    <t>0.5+0.5</t>
  </si>
  <si>
    <t>0.4+0.5</t>
  </si>
  <si>
    <t>1.0+0.5</t>
  </si>
  <si>
    <t>Control of D. teres in barley – NORBARAG</t>
  </si>
  <si>
    <t>Bekämpning av bladfläcksjuka i korn</t>
  </si>
  <si>
    <t>Vattenhållande jord med god förutsättning för god skörd.</t>
  </si>
  <si>
    <t>"A-rutor"</t>
  </si>
  <si>
    <t>Graderingar av förekommande svampsjukdomar bl 1-4 ska göras av utföraren vid T1. Använd protokoll T1.</t>
  </si>
  <si>
    <t>Övriga graderingar utförs av Jordbruksverkets personal (använd protokoll Ob1-Ob3 + G1-G3 vid behov)</t>
  </si>
  <si>
    <t>Extra prov:</t>
  </si>
  <si>
    <t>Vid skörd tas ut extra ledvisa prov á 200 g för grobarhetsanalys. Proven märks med ADB-nr, led och "Grobarhetsanalys" och skickas till Agrilab.</t>
  </si>
  <si>
    <t>utförs av Jordbruksverket</t>
  </si>
  <si>
    <t>Sjukdomsgraderingar:</t>
  </si>
  <si>
    <t>Flaggblad spets synlig - flaggbladets slida synliga</t>
  </si>
  <si>
    <t>Ej konfidentiellt</t>
  </si>
  <si>
    <t xml:space="preserve">Läggs i sort som är känslig för kornets bladfläcksjuka. På Gotland är en plats på mulljord i sorten Rosalina reserverad. I Skåne sker val av fält efter dialog med Växtskyddscentralen i Alnarp. </t>
  </si>
  <si>
    <t>Försöket skall i övrigt följa lantbrukarens odlingsåtgärder förutom följande:</t>
  </si>
  <si>
    <t>Insekter SKA bekämpas, som i sponsorförsöken</t>
  </si>
  <si>
    <t>FÅR SKYLTAS!</t>
  </si>
  <si>
    <t>14.30</t>
  </si>
  <si>
    <t>15.00</t>
  </si>
  <si>
    <t>JMY</t>
  </si>
  <si>
    <t>HSM84</t>
  </si>
  <si>
    <t>Fel beh. Ruta 3 i block I har bytt plats med ruta 17 i block III</t>
  </si>
  <si>
    <t>Leden har bytt plats</t>
  </si>
  <si>
    <t>UDM</t>
  </si>
  <si>
    <t>2-7</t>
  </si>
  <si>
    <t>Jeppa Olanders</t>
  </si>
  <si>
    <t>Hemmesdyngevägen158</t>
  </si>
  <si>
    <t>231 99</t>
  </si>
  <si>
    <t>Klagstorp</t>
  </si>
  <si>
    <t>0709-229442</t>
  </si>
  <si>
    <t>55.365576</t>
  </si>
  <si>
    <t>13.376241</t>
  </si>
  <si>
    <t>2.04</t>
  </si>
  <si>
    <t>Ulrika Dyrlund Martinsson</t>
  </si>
  <si>
    <t>046-713667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</si>
</sst>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mm/dd"/>
    <numFmt numFmtId="166" formatCode="[$-41D]dd/mmm;@"/>
    <numFmt numFmtId="167" formatCode="yyyy/mm/dd;@"/>
    <numFmt numFmtId="168" formatCode="hh:mm;@"/>
    <numFmt numFmtId="169" formatCode="yy/mm/dd;@"/>
    <numFmt numFmtId="170" formatCode="[$-F400]h:mm:ss\ AM/PM"/>
  </numFmts>
  <fonts count="101"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u/>
      <sz val="10"/>
      <color indexed="12"/>
      <name val="Arial"/>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sz val="14"/>
      <name val="Arial"/>
      <family val="2"/>
    </font>
    <font>
      <sz val="10"/>
      <name val="Arial"/>
      <family val="2"/>
    </font>
    <font>
      <b/>
      <sz val="12"/>
      <name val="Arial"/>
      <family val="2"/>
    </font>
    <font>
      <b/>
      <sz val="10"/>
      <name val="Arial"/>
      <family val="2"/>
    </font>
    <font>
      <sz val="9"/>
      <name val="Arial"/>
      <family val="2"/>
    </font>
    <font>
      <i/>
      <sz val="8"/>
      <name val="Arial"/>
      <family val="2"/>
    </font>
    <font>
      <sz val="8"/>
      <name val="Arial"/>
      <family val="2"/>
    </font>
    <font>
      <u/>
      <sz val="10"/>
      <name val="Arial"/>
      <family val="2"/>
    </font>
    <font>
      <sz val="7"/>
      <name val="Arial"/>
      <family val="2"/>
    </font>
    <font>
      <sz val="8"/>
      <name val="Arial"/>
      <family val="2"/>
    </font>
    <font>
      <sz val="12"/>
      <name val="Arial"/>
      <family val="2"/>
    </font>
    <font>
      <sz val="13"/>
      <name val="Arial"/>
      <family val="2"/>
    </font>
    <font>
      <b/>
      <u/>
      <sz val="10"/>
      <name val="Arial"/>
      <family val="2"/>
    </font>
    <font>
      <sz val="7"/>
      <name val="Arial"/>
      <family val="2"/>
    </font>
    <font>
      <sz val="10"/>
      <name val="Arial"/>
      <family val="2"/>
    </font>
    <font>
      <sz val="10"/>
      <name val="Arial"/>
      <family val="2"/>
    </font>
    <font>
      <sz val="11"/>
      <name val="Arial"/>
      <family val="2"/>
    </font>
    <font>
      <sz val="8"/>
      <color indexed="10"/>
      <name val="Arial"/>
      <family val="2"/>
    </font>
    <font>
      <b/>
      <sz val="13"/>
      <name val="Arial"/>
      <family val="2"/>
    </font>
    <font>
      <b/>
      <sz val="7"/>
      <name val="Arial"/>
      <family val="2"/>
    </font>
    <font>
      <b/>
      <sz val="8"/>
      <name val="Arial"/>
      <family val="2"/>
    </font>
    <font>
      <sz val="20"/>
      <name val="Times New Roman"/>
      <family val="1"/>
    </font>
    <font>
      <sz val="18"/>
      <name val="Times New Roman"/>
      <family val="1"/>
    </font>
    <font>
      <sz val="12"/>
      <name val="Times New Roman"/>
      <family val="1"/>
    </font>
    <font>
      <b/>
      <sz val="14"/>
      <name val="Times New Roman"/>
      <family val="1"/>
    </font>
    <font>
      <sz val="14"/>
      <name val="Times New Roman"/>
      <family val="1"/>
    </font>
    <font>
      <sz val="11"/>
      <name val="Times New Roman"/>
      <family val="1"/>
    </font>
    <font>
      <sz val="12"/>
      <color indexed="9"/>
      <name val="Times New Roman"/>
      <family val="1"/>
    </font>
    <font>
      <b/>
      <sz val="12"/>
      <name val="Times New Roman"/>
      <family val="1"/>
    </font>
    <font>
      <u/>
      <sz val="11"/>
      <name val="Times New Roman"/>
      <family val="1"/>
    </font>
    <font>
      <b/>
      <sz val="12"/>
      <color indexed="10"/>
      <name val="Times New Roman"/>
      <family val="1"/>
    </font>
    <font>
      <b/>
      <u/>
      <sz val="12"/>
      <name val="Times New Roman"/>
      <family val="1"/>
    </font>
    <font>
      <u/>
      <sz val="12"/>
      <name val="Times New Roman"/>
      <family val="1"/>
    </font>
    <font>
      <b/>
      <sz val="10"/>
      <color indexed="10"/>
      <name val="Arial"/>
      <family val="2"/>
    </font>
    <font>
      <sz val="11"/>
      <color indexed="10"/>
      <name val="Times New Roman"/>
      <family val="1"/>
    </font>
    <font>
      <sz val="10"/>
      <name val="Times New Roman"/>
      <family val="1"/>
    </font>
    <font>
      <i/>
      <sz val="10"/>
      <name val="Arial"/>
      <family val="2"/>
    </font>
    <font>
      <b/>
      <sz val="9"/>
      <name val="Arial"/>
      <family val="2"/>
    </font>
    <font>
      <sz val="9"/>
      <name val="Arial"/>
      <family val="2"/>
    </font>
    <font>
      <sz val="10"/>
      <color indexed="9"/>
      <name val="Arial"/>
      <family val="2"/>
    </font>
    <font>
      <b/>
      <u/>
      <sz val="12"/>
      <name val="Arial"/>
      <family val="2"/>
    </font>
    <font>
      <sz val="10"/>
      <color indexed="10"/>
      <name val="Arial"/>
      <family val="2"/>
    </font>
    <font>
      <sz val="11"/>
      <color indexed="9"/>
      <name val="Times New Roman"/>
      <family val="1"/>
    </font>
    <font>
      <i/>
      <sz val="12"/>
      <name val="Times New Roman"/>
      <family val="1"/>
    </font>
    <font>
      <u/>
      <sz val="9"/>
      <name val="Arial"/>
      <family val="2"/>
    </font>
    <font>
      <sz val="12"/>
      <color rgb="FFFF0000"/>
      <name val="Times New Roman"/>
      <family val="1"/>
    </font>
    <font>
      <sz val="10"/>
      <color rgb="FFFF0000"/>
      <name val="Arial"/>
      <family val="2"/>
    </font>
    <font>
      <u/>
      <sz val="12"/>
      <name val="Arial"/>
      <family val="2"/>
    </font>
    <font>
      <b/>
      <sz val="10"/>
      <color rgb="FFFF0000"/>
      <name val="Arial"/>
      <family val="2"/>
    </font>
    <font>
      <sz val="8"/>
      <name val="Times New Roman"/>
      <family val="1"/>
    </font>
    <font>
      <sz val="9"/>
      <name val="Times New Roman"/>
      <family val="1"/>
    </font>
    <font>
      <sz val="16"/>
      <name val="Arial"/>
      <family val="2"/>
    </font>
    <font>
      <b/>
      <sz val="14"/>
      <name val="Arial"/>
      <family val="2"/>
    </font>
    <font>
      <b/>
      <u/>
      <sz val="9"/>
      <name val="Arial"/>
      <family val="2"/>
    </font>
    <font>
      <sz val="8"/>
      <color theme="0"/>
      <name val="Arial"/>
      <family val="2"/>
    </font>
    <font>
      <u/>
      <sz val="10"/>
      <name val="Times New Roman"/>
      <family val="1"/>
    </font>
    <font>
      <u/>
      <sz val="8"/>
      <name val="Arial"/>
      <family val="2"/>
    </font>
    <font>
      <b/>
      <sz val="12"/>
      <color indexed="10"/>
      <name val="Arial"/>
      <family val="2"/>
    </font>
    <font>
      <b/>
      <sz val="14"/>
      <color indexed="10"/>
      <name val="Arial"/>
      <family val="2"/>
    </font>
    <font>
      <sz val="8"/>
      <color rgb="FFFF0000"/>
      <name val="Arial"/>
      <family val="2"/>
    </font>
    <font>
      <i/>
      <sz val="9"/>
      <name val="Arial"/>
      <family val="2"/>
    </font>
    <font>
      <sz val="9"/>
      <color rgb="FFFF0000"/>
      <name val="Arial"/>
      <family val="2"/>
    </font>
    <font>
      <sz val="10"/>
      <color theme="0"/>
      <name val="Arial"/>
      <family val="2"/>
    </font>
    <font>
      <sz val="7"/>
      <color indexed="10"/>
      <name val="Arial"/>
      <family val="2"/>
    </font>
    <font>
      <sz val="7"/>
      <color rgb="FFFF0000"/>
      <name val="Arial"/>
      <family val="2"/>
    </font>
    <font>
      <u/>
      <sz val="8"/>
      <name val="Times New Roman"/>
      <family val="1"/>
    </font>
    <font>
      <b/>
      <u/>
      <sz val="10"/>
      <name val="Times New Roman"/>
      <family val="1"/>
    </font>
    <font>
      <sz val="12"/>
      <color theme="0"/>
      <name val="Times New Roman"/>
      <family val="1"/>
    </font>
    <font>
      <b/>
      <sz val="10"/>
      <color indexed="12"/>
      <name val="Arial"/>
      <family val="2"/>
    </font>
    <font>
      <sz val="7"/>
      <color theme="0"/>
      <name val="Arial"/>
      <family val="2"/>
    </font>
    <font>
      <sz val="8"/>
      <color theme="0"/>
      <name val="Times New Roman"/>
      <family val="1"/>
    </font>
    <font>
      <b/>
      <sz val="8"/>
      <color rgb="FFFF0000"/>
      <name val="Arial"/>
      <family val="2"/>
    </font>
    <font>
      <b/>
      <u/>
      <sz val="8"/>
      <name val="Arial"/>
      <family val="2"/>
    </font>
    <font>
      <b/>
      <sz val="12"/>
      <color rgb="FFFF0000"/>
      <name val="Times New Roman"/>
      <family val="1"/>
    </font>
    <font>
      <b/>
      <sz val="10"/>
      <color theme="1"/>
      <name val="Times New Roman"/>
      <family val="1"/>
    </font>
    <font>
      <sz val="8"/>
      <color theme="1"/>
      <name val="Arial"/>
      <family val="2"/>
    </font>
    <font>
      <i/>
      <sz val="10"/>
      <name val="Times New Roman"/>
      <family val="1"/>
    </font>
    <font>
      <u/>
      <sz val="12"/>
      <color theme="0"/>
      <name val="Times New Roman"/>
      <family val="1"/>
    </font>
    <font>
      <u/>
      <sz val="8"/>
      <color theme="0"/>
      <name val="Times New Roman"/>
      <family val="1"/>
    </font>
    <font>
      <b/>
      <sz val="12"/>
      <color theme="1"/>
      <name val="Times New Roman"/>
      <family val="1"/>
    </font>
    <font>
      <b/>
      <u/>
      <sz val="10"/>
      <color theme="0"/>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52"/>
        <bgColor indexed="64"/>
      </patternFill>
    </fill>
    <fill>
      <patternFill patternType="solid">
        <fgColor indexed="15"/>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50"/>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rgb="FF92D050"/>
        <bgColor indexed="64"/>
      </patternFill>
    </fill>
    <fill>
      <patternFill patternType="solid">
        <fgColor theme="9"/>
        <bgColor indexed="64"/>
      </patternFill>
    </fill>
    <fill>
      <patternFill patternType="solid">
        <fgColor rgb="FF00B050"/>
        <bgColor indexed="64"/>
      </patternFill>
    </fill>
    <fill>
      <patternFill patternType="solid">
        <fgColor theme="6"/>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rgb="FFFFFF99"/>
        <bgColor indexed="64"/>
      </patternFill>
    </fill>
    <fill>
      <patternFill patternType="solid">
        <fgColor rgb="FFFF0000"/>
        <bgColor indexed="64"/>
      </patternFill>
    </fill>
  </fills>
  <borders count="7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6">
    <xf numFmtId="166" fontId="0" fillId="0" borderId="0"/>
    <xf numFmtId="166" fontId="2" fillId="2" borderId="0" applyNumberFormat="0" applyBorder="0" applyAlignment="0" applyProtection="0"/>
    <xf numFmtId="166" fontId="2" fillId="3" borderId="0" applyNumberFormat="0" applyBorder="0" applyAlignment="0" applyProtection="0"/>
    <xf numFmtId="166" fontId="2" fillId="4" borderId="0" applyNumberFormat="0" applyBorder="0" applyAlignment="0" applyProtection="0"/>
    <xf numFmtId="166" fontId="2" fillId="5" borderId="0" applyNumberFormat="0" applyBorder="0" applyAlignment="0" applyProtection="0"/>
    <xf numFmtId="166" fontId="2" fillId="6" borderId="0" applyNumberFormat="0" applyBorder="0" applyAlignment="0" applyProtection="0"/>
    <xf numFmtId="166" fontId="2" fillId="7" borderId="0" applyNumberFormat="0" applyBorder="0" applyAlignment="0" applyProtection="0"/>
    <xf numFmtId="166" fontId="2" fillId="8" borderId="0" applyNumberFormat="0" applyBorder="0" applyAlignment="0" applyProtection="0"/>
    <xf numFmtId="166" fontId="2" fillId="9" borderId="0" applyNumberFormat="0" applyBorder="0" applyAlignment="0" applyProtection="0"/>
    <xf numFmtId="166" fontId="2" fillId="10" borderId="0" applyNumberFormat="0" applyBorder="0" applyAlignment="0" applyProtection="0"/>
    <xf numFmtId="166" fontId="2" fillId="5" borderId="0" applyNumberFormat="0" applyBorder="0" applyAlignment="0" applyProtection="0"/>
    <xf numFmtId="166" fontId="2" fillId="8" borderId="0" applyNumberFormat="0" applyBorder="0" applyAlignment="0" applyProtection="0"/>
    <xf numFmtId="166" fontId="2" fillId="11" borderId="0" applyNumberFormat="0" applyBorder="0" applyAlignment="0" applyProtection="0"/>
    <xf numFmtId="166" fontId="3" fillId="12" borderId="0" applyNumberFormat="0" applyBorder="0" applyAlignment="0" applyProtection="0"/>
    <xf numFmtId="166" fontId="3" fillId="9" borderId="0" applyNumberFormat="0" applyBorder="0" applyAlignment="0" applyProtection="0"/>
    <xf numFmtId="166" fontId="3" fillId="10" borderId="0" applyNumberFormat="0" applyBorder="0" applyAlignment="0" applyProtection="0"/>
    <xf numFmtId="166" fontId="3" fillId="13" borderId="0" applyNumberFormat="0" applyBorder="0" applyAlignment="0" applyProtection="0"/>
    <xf numFmtId="166" fontId="3" fillId="14" borderId="0" applyNumberFormat="0" applyBorder="0" applyAlignment="0" applyProtection="0"/>
    <xf numFmtId="166" fontId="3" fillId="15" borderId="0" applyNumberFormat="0" applyBorder="0" applyAlignment="0" applyProtection="0"/>
    <xf numFmtId="166" fontId="1" fillId="16" borderId="1" applyNumberFormat="0" applyFont="0" applyAlignment="0" applyProtection="0"/>
    <xf numFmtId="166" fontId="4" fillId="17" borderId="2" applyNumberFormat="0" applyAlignment="0" applyProtection="0"/>
    <xf numFmtId="166" fontId="5" fillId="4" borderId="0" applyNumberFormat="0" applyBorder="0" applyAlignment="0" applyProtection="0"/>
    <xf numFmtId="166" fontId="6" fillId="3" borderId="0" applyNumberFormat="0" applyBorder="0" applyAlignment="0" applyProtection="0"/>
    <xf numFmtId="166" fontId="3" fillId="18" borderId="0" applyNumberFormat="0" applyBorder="0" applyAlignment="0" applyProtection="0"/>
    <xf numFmtId="166" fontId="3" fillId="19" borderId="0" applyNumberFormat="0" applyBorder="0" applyAlignment="0" applyProtection="0"/>
    <xf numFmtId="166" fontId="3" fillId="20" borderId="0" applyNumberFormat="0" applyBorder="0" applyAlignment="0" applyProtection="0"/>
    <xf numFmtId="166" fontId="3" fillId="13" borderId="0" applyNumberFormat="0" applyBorder="0" applyAlignment="0" applyProtection="0"/>
    <xf numFmtId="166" fontId="3" fillId="14" borderId="0" applyNumberFormat="0" applyBorder="0" applyAlignment="0" applyProtection="0"/>
    <xf numFmtId="166" fontId="3" fillId="21" borderId="0" applyNumberFormat="0" applyBorder="0" applyAlignment="0" applyProtection="0"/>
    <xf numFmtId="166" fontId="7" fillId="0" borderId="0" applyNumberFormat="0" applyFill="0" applyBorder="0" applyAlignment="0" applyProtection="0"/>
    <xf numFmtId="166" fontId="8" fillId="0" borderId="0" applyNumberFormat="0" applyFill="0" applyBorder="0" applyAlignment="0" applyProtection="0">
      <alignment vertical="top"/>
      <protection locked="0"/>
    </xf>
    <xf numFmtId="166" fontId="9" fillId="7" borderId="2" applyNumberFormat="0" applyAlignment="0" applyProtection="0"/>
    <xf numFmtId="166" fontId="10" fillId="22" borderId="3" applyNumberFormat="0" applyAlignment="0" applyProtection="0"/>
    <xf numFmtId="166" fontId="11" fillId="0" borderId="4" applyNumberFormat="0" applyFill="0" applyAlignment="0" applyProtection="0"/>
    <xf numFmtId="166" fontId="12" fillId="23" borderId="0" applyNumberFormat="0" applyBorder="0" applyAlignment="0" applyProtection="0"/>
    <xf numFmtId="166" fontId="13" fillId="0" borderId="0" applyNumberFormat="0" applyFill="0" applyBorder="0" applyAlignment="0" applyProtection="0"/>
    <xf numFmtId="166" fontId="14" fillId="0" borderId="5" applyNumberFormat="0" applyFill="0" applyAlignment="0" applyProtection="0"/>
    <xf numFmtId="166" fontId="15" fillId="0" borderId="6" applyNumberFormat="0" applyFill="0" applyAlignment="0" applyProtection="0"/>
    <xf numFmtId="166" fontId="16" fillId="0" borderId="7" applyNumberFormat="0" applyFill="0" applyAlignment="0" applyProtection="0"/>
    <xf numFmtId="166" fontId="16" fillId="0" borderId="0" applyNumberFormat="0" applyFill="0" applyBorder="0" applyAlignment="0" applyProtection="0"/>
    <xf numFmtId="166" fontId="17" fillId="0" borderId="8" applyNumberFormat="0" applyFill="0" applyAlignment="0" applyProtection="0"/>
    <xf numFmtId="166" fontId="18" fillId="17" borderId="9" applyNumberFormat="0" applyAlignment="0" applyProtection="0"/>
    <xf numFmtId="166" fontId="19" fillId="0" borderId="0" applyNumberFormat="0" applyFill="0" applyBorder="0" applyAlignment="0" applyProtection="0"/>
    <xf numFmtId="166" fontId="21" fillId="0" borderId="0"/>
    <xf numFmtId="166" fontId="21" fillId="0" borderId="0"/>
    <xf numFmtId="166" fontId="1" fillId="0" borderId="0"/>
  </cellStyleXfs>
  <cellXfs count="1058">
    <xf numFmtId="166" fontId="0" fillId="0" borderId="0" xfId="0"/>
    <xf numFmtId="166" fontId="20" fillId="0" borderId="0" xfId="0" applyFont="1"/>
    <xf numFmtId="166" fontId="21" fillId="0" borderId="0" xfId="0" applyFont="1" applyBorder="1"/>
    <xf numFmtId="166" fontId="21" fillId="0" borderId="0" xfId="0" applyFont="1"/>
    <xf numFmtId="166" fontId="26" fillId="0" borderId="0" xfId="0" applyFont="1" applyBorder="1"/>
    <xf numFmtId="166" fontId="26" fillId="0" borderId="0" xfId="0" applyFont="1"/>
    <xf numFmtId="166" fontId="1" fillId="0" borderId="0" xfId="0" applyFont="1"/>
    <xf numFmtId="166" fontId="0" fillId="0" borderId="0" xfId="0" applyProtection="1">
      <protection hidden="1"/>
    </xf>
    <xf numFmtId="166" fontId="21" fillId="0" borderId="0" xfId="0" applyFont="1" applyProtection="1">
      <protection hidden="1"/>
    </xf>
    <xf numFmtId="166" fontId="21" fillId="0" borderId="0" xfId="0" applyFont="1" applyBorder="1" applyProtection="1">
      <protection hidden="1"/>
    </xf>
    <xf numFmtId="166" fontId="21" fillId="0" borderId="0" xfId="0" applyFont="1" applyProtection="1">
      <protection locked="0"/>
    </xf>
    <xf numFmtId="166" fontId="1" fillId="0" borderId="0" xfId="0" applyFont="1" applyProtection="1">
      <protection hidden="1"/>
    </xf>
    <xf numFmtId="166" fontId="0" fillId="0" borderId="0" xfId="0" applyProtection="1">
      <protection locked="0"/>
    </xf>
    <xf numFmtId="166" fontId="34" fillId="0" borderId="0" xfId="0" applyFont="1" applyProtection="1">
      <protection hidden="1"/>
    </xf>
    <xf numFmtId="166" fontId="53" fillId="0" borderId="0" xfId="0" applyFont="1" applyProtection="1">
      <protection hidden="1"/>
    </xf>
    <xf numFmtId="166" fontId="0" fillId="0" borderId="14" xfId="0" applyBorder="1" applyProtection="1">
      <protection hidden="1"/>
    </xf>
    <xf numFmtId="166" fontId="0" fillId="28" borderId="14" xfId="0" applyFill="1" applyBorder="1" applyProtection="1">
      <protection hidden="1"/>
    </xf>
    <xf numFmtId="166" fontId="53" fillId="28" borderId="14" xfId="0" applyFont="1" applyFill="1" applyBorder="1" applyProtection="1">
      <protection hidden="1"/>
    </xf>
    <xf numFmtId="166" fontId="41" fillId="0" borderId="0" xfId="0" applyFont="1" applyProtection="1">
      <protection hidden="1"/>
    </xf>
    <xf numFmtId="166" fontId="46" fillId="0" borderId="0" xfId="0" applyFont="1" applyProtection="1">
      <protection hidden="1"/>
    </xf>
    <xf numFmtId="166" fontId="43" fillId="0" borderId="0" xfId="0" applyFont="1" applyProtection="1">
      <protection hidden="1"/>
    </xf>
    <xf numFmtId="166" fontId="43" fillId="0" borderId="0" xfId="0" applyFont="1" applyAlignment="1" applyProtection="1">
      <alignment horizontal="center"/>
      <protection hidden="1"/>
    </xf>
    <xf numFmtId="166" fontId="46" fillId="0" borderId="0" xfId="0" applyFont="1" applyAlignment="1" applyProtection="1">
      <alignment horizontal="center"/>
      <protection hidden="1"/>
    </xf>
    <xf numFmtId="166" fontId="55" fillId="0" borderId="0" xfId="0" applyFont="1" applyProtection="1">
      <protection hidden="1"/>
    </xf>
    <xf numFmtId="166" fontId="45" fillId="0" borderId="0" xfId="0" applyFont="1" applyProtection="1">
      <protection hidden="1"/>
    </xf>
    <xf numFmtId="166" fontId="43" fillId="0" borderId="0" xfId="0" applyFont="1" applyBorder="1" applyProtection="1">
      <protection hidden="1"/>
    </xf>
    <xf numFmtId="166" fontId="54" fillId="0" borderId="0" xfId="0" applyFont="1" applyProtection="1">
      <protection hidden="1"/>
    </xf>
    <xf numFmtId="167" fontId="0" fillId="32" borderId="14" xfId="0" applyNumberFormat="1" applyFill="1" applyBorder="1" applyAlignment="1" applyProtection="1">
      <alignment horizontal="left"/>
      <protection hidden="1"/>
    </xf>
    <xf numFmtId="166" fontId="23" fillId="24" borderId="31" xfId="0" applyFont="1" applyFill="1" applyBorder="1" applyProtection="1">
      <protection hidden="1"/>
    </xf>
    <xf numFmtId="166" fontId="0" fillId="0" borderId="0" xfId="0" applyAlignment="1" applyProtection="1">
      <alignment horizontal="center"/>
      <protection hidden="1"/>
    </xf>
    <xf numFmtId="166" fontId="23" fillId="24" borderId="14" xfId="0" applyFont="1" applyFill="1" applyBorder="1" applyProtection="1">
      <protection hidden="1"/>
    </xf>
    <xf numFmtId="166" fontId="41" fillId="30" borderId="0" xfId="0" applyFont="1" applyFill="1" applyProtection="1">
      <protection hidden="1"/>
    </xf>
    <xf numFmtId="166" fontId="43" fillId="30" borderId="0" xfId="0" applyFont="1" applyFill="1" applyProtection="1">
      <protection hidden="1"/>
    </xf>
    <xf numFmtId="166" fontId="43" fillId="30" borderId="0" xfId="0" applyFont="1" applyFill="1" applyAlignment="1" applyProtection="1">
      <alignment horizontal="center"/>
      <protection hidden="1"/>
    </xf>
    <xf numFmtId="166" fontId="45" fillId="30" borderId="0" xfId="0" applyFont="1" applyFill="1" applyAlignment="1" applyProtection="1">
      <alignment vertical="center"/>
      <protection hidden="1"/>
    </xf>
    <xf numFmtId="166" fontId="43" fillId="30" borderId="0" xfId="0" applyFont="1" applyFill="1" applyAlignment="1" applyProtection="1">
      <alignment vertical="center"/>
      <protection hidden="1"/>
    </xf>
    <xf numFmtId="166" fontId="45" fillId="30" borderId="0" xfId="0" applyFont="1" applyFill="1" applyProtection="1">
      <protection hidden="1"/>
    </xf>
    <xf numFmtId="166" fontId="44" fillId="30" borderId="0" xfId="0" applyFont="1" applyFill="1" applyProtection="1">
      <protection hidden="1"/>
    </xf>
    <xf numFmtId="166" fontId="48" fillId="30" borderId="20" xfId="0" applyFont="1" applyFill="1" applyBorder="1" applyProtection="1">
      <protection hidden="1"/>
    </xf>
    <xf numFmtId="166" fontId="0" fillId="30" borderId="11" xfId="0" applyFill="1" applyBorder="1" applyProtection="1">
      <protection hidden="1"/>
    </xf>
    <xf numFmtId="166" fontId="43" fillId="30" borderId="20" xfId="0" applyFont="1" applyFill="1" applyBorder="1" applyProtection="1">
      <protection hidden="1"/>
    </xf>
    <xf numFmtId="166" fontId="43" fillId="30" borderId="29" xfId="0" applyFont="1" applyFill="1" applyBorder="1" applyProtection="1">
      <protection hidden="1"/>
    </xf>
    <xf numFmtId="166" fontId="43" fillId="30" borderId="24" xfId="0" applyFont="1" applyFill="1" applyBorder="1" applyProtection="1">
      <protection hidden="1"/>
    </xf>
    <xf numFmtId="166" fontId="43" fillId="30" borderId="0" xfId="0" applyFont="1" applyFill="1" applyBorder="1" applyProtection="1">
      <protection hidden="1"/>
    </xf>
    <xf numFmtId="166" fontId="48" fillId="30" borderId="0" xfId="0" applyFont="1" applyFill="1" applyBorder="1" applyProtection="1">
      <protection hidden="1"/>
    </xf>
    <xf numFmtId="166" fontId="43" fillId="30" borderId="0" xfId="0" applyFont="1" applyFill="1" applyBorder="1" applyAlignment="1" applyProtection="1">
      <protection hidden="1"/>
    </xf>
    <xf numFmtId="166" fontId="43" fillId="30" borderId="0" xfId="0" applyFont="1" applyFill="1" applyAlignment="1" applyProtection="1">
      <alignment horizontal="right"/>
      <protection hidden="1"/>
    </xf>
    <xf numFmtId="166" fontId="43" fillId="30" borderId="22" xfId="0" applyFont="1" applyFill="1" applyBorder="1" applyProtection="1">
      <protection hidden="1"/>
    </xf>
    <xf numFmtId="166" fontId="43" fillId="30" borderId="11" xfId="0" applyFont="1" applyFill="1" applyBorder="1" applyProtection="1">
      <protection hidden="1"/>
    </xf>
    <xf numFmtId="166" fontId="43" fillId="30" borderId="26" xfId="0" applyFont="1" applyFill="1" applyBorder="1" applyProtection="1">
      <protection hidden="1"/>
    </xf>
    <xf numFmtId="166" fontId="43" fillId="30" borderId="28" xfId="0" applyFont="1" applyFill="1" applyBorder="1" applyProtection="1">
      <protection hidden="1"/>
    </xf>
    <xf numFmtId="166" fontId="43" fillId="30" borderId="30" xfId="0" applyFont="1" applyFill="1" applyBorder="1" applyProtection="1">
      <protection hidden="1"/>
    </xf>
    <xf numFmtId="166" fontId="46" fillId="30" borderId="0" xfId="0" applyFont="1" applyFill="1" applyAlignment="1" applyProtection="1">
      <protection hidden="1"/>
    </xf>
    <xf numFmtId="166" fontId="46" fillId="30" borderId="0" xfId="0" applyFont="1" applyFill="1" applyProtection="1">
      <protection hidden="1"/>
    </xf>
    <xf numFmtId="166" fontId="43" fillId="30" borderId="32" xfId="0" applyFont="1" applyFill="1" applyBorder="1" applyProtection="1">
      <protection hidden="1"/>
    </xf>
    <xf numFmtId="166" fontId="43" fillId="30" borderId="12" xfId="0" applyFont="1" applyFill="1" applyBorder="1" applyProtection="1">
      <protection hidden="1"/>
    </xf>
    <xf numFmtId="166" fontId="43" fillId="30" borderId="33" xfId="0" applyFont="1" applyFill="1" applyBorder="1" applyProtection="1">
      <protection hidden="1"/>
    </xf>
    <xf numFmtId="166" fontId="48" fillId="30" borderId="29" xfId="0" applyFont="1" applyFill="1" applyBorder="1" applyProtection="1">
      <protection hidden="1"/>
    </xf>
    <xf numFmtId="166" fontId="43" fillId="30" borderId="0" xfId="0" quotePrefix="1" applyFont="1" applyFill="1" applyBorder="1" applyProtection="1">
      <protection hidden="1"/>
    </xf>
    <xf numFmtId="166" fontId="50" fillId="30" borderId="0" xfId="0" applyFont="1" applyFill="1" applyBorder="1" applyProtection="1">
      <protection hidden="1"/>
    </xf>
    <xf numFmtId="166" fontId="0" fillId="30" borderId="20" xfId="0" applyFill="1" applyBorder="1" applyProtection="1">
      <protection hidden="1"/>
    </xf>
    <xf numFmtId="166" fontId="0" fillId="30" borderId="0" xfId="0" applyFill="1" applyProtection="1">
      <protection hidden="1"/>
    </xf>
    <xf numFmtId="166" fontId="26" fillId="30" borderId="0" xfId="0" applyFont="1" applyFill="1" applyBorder="1" applyProtection="1">
      <protection hidden="1"/>
    </xf>
    <xf numFmtId="166" fontId="21" fillId="30" borderId="24" xfId="0" applyFont="1" applyFill="1" applyBorder="1" applyProtection="1">
      <protection hidden="1"/>
    </xf>
    <xf numFmtId="166" fontId="21" fillId="30" borderId="0" xfId="0" applyFont="1" applyFill="1" applyBorder="1" applyProtection="1">
      <protection hidden="1"/>
    </xf>
    <xf numFmtId="166" fontId="28" fillId="30" borderId="0" xfId="0" applyFont="1" applyFill="1" applyBorder="1" applyAlignment="1" applyProtection="1">
      <alignment horizontal="right"/>
      <protection hidden="1"/>
    </xf>
    <xf numFmtId="166" fontId="28" fillId="30" borderId="0" xfId="0" applyFont="1" applyFill="1" applyBorder="1" applyAlignment="1" applyProtection="1">
      <alignment horizontal="left"/>
      <protection hidden="1"/>
    </xf>
    <xf numFmtId="166" fontId="20" fillId="30" borderId="29" xfId="0" applyFont="1" applyFill="1" applyBorder="1" applyProtection="1">
      <protection hidden="1"/>
    </xf>
    <xf numFmtId="166" fontId="20" fillId="30" borderId="20" xfId="0" applyFont="1" applyFill="1" applyBorder="1" applyProtection="1">
      <protection hidden="1"/>
    </xf>
    <xf numFmtId="166" fontId="20" fillId="30" borderId="20" xfId="0" applyFont="1" applyFill="1" applyBorder="1" applyAlignment="1" applyProtection="1">
      <alignment horizontal="left"/>
      <protection hidden="1"/>
    </xf>
    <xf numFmtId="166" fontId="28" fillId="30" borderId="20" xfId="0" applyFont="1" applyFill="1" applyBorder="1" applyProtection="1">
      <protection hidden="1"/>
    </xf>
    <xf numFmtId="166" fontId="26" fillId="30" borderId="20" xfId="0" applyFont="1" applyFill="1" applyBorder="1" applyAlignment="1" applyProtection="1">
      <alignment horizontal="right"/>
      <protection hidden="1"/>
    </xf>
    <xf numFmtId="166" fontId="22" fillId="30" borderId="0" xfId="0" applyFont="1" applyFill="1" applyBorder="1" applyProtection="1">
      <protection hidden="1"/>
    </xf>
    <xf numFmtId="166" fontId="23" fillId="30" borderId="0" xfId="0" applyFont="1" applyFill="1" applyBorder="1" applyProtection="1">
      <protection hidden="1"/>
    </xf>
    <xf numFmtId="166" fontId="22" fillId="30" borderId="0" xfId="0" applyFont="1" applyFill="1" applyBorder="1" applyAlignment="1" applyProtection="1">
      <alignment horizontal="right"/>
      <protection hidden="1"/>
    </xf>
    <xf numFmtId="166" fontId="22" fillId="30" borderId="14" xfId="0" applyFont="1" applyFill="1" applyBorder="1" applyAlignment="1" applyProtection="1">
      <alignment horizontal="center"/>
      <protection hidden="1"/>
    </xf>
    <xf numFmtId="166" fontId="24" fillId="30" borderId="0" xfId="0" quotePrefix="1" applyFont="1" applyFill="1" applyBorder="1" applyAlignment="1" applyProtection="1">
      <alignment horizontal="center"/>
      <protection hidden="1"/>
    </xf>
    <xf numFmtId="166" fontId="21" fillId="30" borderId="11" xfId="0" applyFont="1" applyFill="1" applyBorder="1" applyProtection="1">
      <protection hidden="1"/>
    </xf>
    <xf numFmtId="166" fontId="21" fillId="30" borderId="11" xfId="0" applyFont="1" applyFill="1" applyBorder="1" applyAlignment="1" applyProtection="1">
      <alignment horizontal="center"/>
      <protection hidden="1"/>
    </xf>
    <xf numFmtId="166" fontId="26" fillId="30" borderId="24" xfId="0" applyFont="1" applyFill="1" applyBorder="1" applyProtection="1">
      <protection hidden="1"/>
    </xf>
    <xf numFmtId="166" fontId="0" fillId="26" borderId="0" xfId="0" quotePrefix="1" applyFill="1" applyProtection="1">
      <protection hidden="1"/>
    </xf>
    <xf numFmtId="166" fontId="0" fillId="25" borderId="0" xfId="0" applyFill="1" applyProtection="1">
      <protection hidden="1"/>
    </xf>
    <xf numFmtId="166" fontId="59" fillId="27" borderId="0" xfId="0" applyFont="1" applyFill="1" applyProtection="1">
      <protection hidden="1"/>
    </xf>
    <xf numFmtId="166" fontId="0" fillId="29" borderId="14" xfId="0" quotePrefix="1" applyFill="1" applyBorder="1" applyProtection="1">
      <protection hidden="1"/>
    </xf>
    <xf numFmtId="166" fontId="0" fillId="26" borderId="0" xfId="0" applyFill="1" applyProtection="1">
      <protection hidden="1"/>
    </xf>
    <xf numFmtId="166" fontId="55" fillId="30" borderId="24" xfId="0" applyFont="1" applyFill="1" applyBorder="1" applyProtection="1">
      <protection hidden="1"/>
    </xf>
    <xf numFmtId="166" fontId="55" fillId="30" borderId="0" xfId="0" applyFont="1" applyFill="1" applyBorder="1" applyProtection="1">
      <protection hidden="1"/>
    </xf>
    <xf numFmtId="166" fontId="55" fillId="30" borderId="0" xfId="0" applyFont="1" applyFill="1" applyProtection="1">
      <protection hidden="1"/>
    </xf>
    <xf numFmtId="166" fontId="61" fillId="30" borderId="24" xfId="0" applyFont="1" applyFill="1" applyBorder="1" applyProtection="1">
      <protection hidden="1"/>
    </xf>
    <xf numFmtId="166" fontId="32" fillId="0" borderId="0" xfId="0" applyFont="1" applyAlignment="1" applyProtection="1">
      <alignment horizontal="left"/>
      <protection hidden="1"/>
    </xf>
    <xf numFmtId="166" fontId="0" fillId="0" borderId="0" xfId="0" applyAlignment="1" applyProtection="1">
      <alignment horizontal="left"/>
      <protection hidden="1"/>
    </xf>
    <xf numFmtId="166" fontId="53" fillId="0" borderId="0" xfId="0" applyFont="1"/>
    <xf numFmtId="166" fontId="50" fillId="30" borderId="11" xfId="0" applyFont="1" applyFill="1" applyBorder="1" applyProtection="1">
      <protection hidden="1"/>
    </xf>
    <xf numFmtId="166" fontId="8" fillId="30" borderId="0" xfId="30" applyFont="1" applyFill="1" applyBorder="1" applyAlignment="1" applyProtection="1">
      <protection hidden="1"/>
    </xf>
    <xf numFmtId="166" fontId="43" fillId="0" borderId="11" xfId="0" applyFont="1" applyBorder="1" applyProtection="1">
      <protection hidden="1"/>
    </xf>
    <xf numFmtId="166" fontId="63" fillId="30" borderId="11" xfId="0" applyFont="1" applyFill="1" applyBorder="1" applyProtection="1">
      <protection hidden="1"/>
    </xf>
    <xf numFmtId="166" fontId="21" fillId="0" borderId="0" xfId="0" applyFont="1" applyAlignment="1" applyProtection="1">
      <alignment horizontal="left"/>
      <protection hidden="1"/>
    </xf>
    <xf numFmtId="166" fontId="21" fillId="35" borderId="0" xfId="0" applyFont="1" applyFill="1" applyBorder="1" applyProtection="1">
      <protection hidden="1"/>
    </xf>
    <xf numFmtId="166" fontId="21" fillId="35" borderId="0" xfId="0" applyFont="1" applyFill="1" applyBorder="1" applyAlignment="1" applyProtection="1">
      <protection hidden="1"/>
    </xf>
    <xf numFmtId="166" fontId="26" fillId="35" borderId="11" xfId="0" applyFont="1" applyFill="1" applyBorder="1" applyAlignment="1" applyProtection="1">
      <alignment horizontal="left"/>
      <protection hidden="1"/>
    </xf>
    <xf numFmtId="166" fontId="26" fillId="35" borderId="11" xfId="0" quotePrefix="1" applyFont="1" applyFill="1" applyBorder="1" applyAlignment="1" applyProtection="1">
      <alignment horizontal="right"/>
      <protection hidden="1"/>
    </xf>
    <xf numFmtId="166" fontId="21" fillId="35" borderId="11" xfId="0" applyFont="1" applyFill="1" applyBorder="1" applyAlignment="1" applyProtection="1">
      <alignment horizontal="left"/>
      <protection hidden="1"/>
    </xf>
    <xf numFmtId="166" fontId="21" fillId="35" borderId="11" xfId="0" applyFont="1" applyFill="1" applyBorder="1" applyProtection="1">
      <protection hidden="1"/>
    </xf>
    <xf numFmtId="166" fontId="21" fillId="35" borderId="11" xfId="0" applyFont="1" applyFill="1" applyBorder="1" applyAlignment="1" applyProtection="1">
      <protection hidden="1"/>
    </xf>
    <xf numFmtId="166" fontId="25" fillId="30" borderId="24" xfId="0" applyFont="1" applyFill="1" applyBorder="1" applyProtection="1">
      <protection hidden="1"/>
    </xf>
    <xf numFmtId="166" fontId="21" fillId="35" borderId="20" xfId="0" applyFont="1" applyFill="1" applyBorder="1" applyProtection="1">
      <protection hidden="1"/>
    </xf>
    <xf numFmtId="166" fontId="24" fillId="0" borderId="0" xfId="0" applyFont="1"/>
    <xf numFmtId="166" fontId="24" fillId="35" borderId="0" xfId="0" applyFont="1" applyFill="1" applyBorder="1" applyAlignment="1" applyProtection="1">
      <protection hidden="1"/>
    </xf>
    <xf numFmtId="166" fontId="24" fillId="35" borderId="0" xfId="0" applyFont="1" applyFill="1" applyBorder="1" applyProtection="1">
      <protection hidden="1"/>
    </xf>
    <xf numFmtId="166" fontId="24" fillId="35" borderId="0" xfId="0" applyFont="1" applyFill="1" applyBorder="1" applyAlignment="1" applyProtection="1">
      <alignment horizontal="left"/>
      <protection hidden="1"/>
    </xf>
    <xf numFmtId="166" fontId="21" fillId="36" borderId="0" xfId="0" applyFont="1" applyFill="1" applyBorder="1" applyProtection="1">
      <protection hidden="1"/>
    </xf>
    <xf numFmtId="166" fontId="27" fillId="36" borderId="0" xfId="0" applyFont="1" applyFill="1" applyBorder="1" applyProtection="1">
      <protection hidden="1"/>
    </xf>
    <xf numFmtId="166" fontId="21" fillId="36" borderId="26" xfId="0" applyFont="1" applyFill="1" applyBorder="1" applyProtection="1">
      <protection hidden="1"/>
    </xf>
    <xf numFmtId="166" fontId="21" fillId="36" borderId="11" xfId="0" applyFont="1" applyFill="1" applyBorder="1" applyProtection="1">
      <protection hidden="1"/>
    </xf>
    <xf numFmtId="166" fontId="24" fillId="36" borderId="20" xfId="0" applyFont="1" applyFill="1" applyBorder="1" applyAlignment="1" applyProtection="1">
      <protection hidden="1"/>
    </xf>
    <xf numFmtId="166" fontId="27" fillId="36" borderId="0" xfId="0" applyFont="1" applyFill="1" applyBorder="1" applyAlignment="1" applyProtection="1">
      <protection hidden="1"/>
    </xf>
    <xf numFmtId="166" fontId="21" fillId="36" borderId="0" xfId="0" applyNumberFormat="1" applyFont="1" applyFill="1" applyBorder="1" applyAlignment="1" applyProtection="1">
      <protection hidden="1"/>
    </xf>
    <xf numFmtId="166" fontId="27" fillId="35" borderId="24" xfId="0" applyFont="1" applyFill="1" applyBorder="1" applyProtection="1">
      <protection hidden="1"/>
    </xf>
    <xf numFmtId="166" fontId="27" fillId="35" borderId="0" xfId="0" applyFont="1" applyFill="1" applyBorder="1" applyProtection="1">
      <protection hidden="1"/>
    </xf>
    <xf numFmtId="166" fontId="27" fillId="35" borderId="0" xfId="0" applyFont="1" applyFill="1" applyBorder="1" applyAlignment="1" applyProtection="1">
      <alignment horizontal="center"/>
      <protection hidden="1"/>
    </xf>
    <xf numFmtId="166" fontId="64" fillId="35" borderId="24" xfId="0" applyFont="1" applyFill="1" applyBorder="1" applyProtection="1">
      <protection hidden="1"/>
    </xf>
    <xf numFmtId="166" fontId="64" fillId="35" borderId="0" xfId="0" applyFont="1" applyFill="1" applyBorder="1" applyProtection="1">
      <protection hidden="1"/>
    </xf>
    <xf numFmtId="166" fontId="21" fillId="35" borderId="24" xfId="0" applyFont="1" applyFill="1" applyBorder="1" applyAlignment="1" applyProtection="1">
      <protection hidden="1"/>
    </xf>
    <xf numFmtId="166" fontId="21" fillId="35" borderId="24" xfId="0" applyFont="1" applyFill="1" applyBorder="1" applyProtection="1">
      <protection hidden="1"/>
    </xf>
    <xf numFmtId="166" fontId="21" fillId="35" borderId="22" xfId="0" applyFont="1" applyFill="1" applyBorder="1" applyAlignment="1" applyProtection="1">
      <protection hidden="1"/>
    </xf>
    <xf numFmtId="166" fontId="24" fillId="36" borderId="29" xfId="0" applyFont="1" applyFill="1" applyBorder="1" applyProtection="1">
      <protection hidden="1"/>
    </xf>
    <xf numFmtId="166" fontId="24" fillId="36" borderId="20" xfId="0" applyFont="1" applyFill="1" applyBorder="1" applyProtection="1">
      <protection hidden="1"/>
    </xf>
    <xf numFmtId="166" fontId="24" fillId="36" borderId="20" xfId="0" applyNumberFormat="1" applyFont="1" applyFill="1" applyBorder="1" applyAlignment="1" applyProtection="1">
      <alignment horizontal="center"/>
      <protection hidden="1"/>
    </xf>
    <xf numFmtId="2" fontId="24" fillId="36" borderId="20" xfId="0" quotePrefix="1" applyNumberFormat="1" applyFont="1" applyFill="1" applyBorder="1" applyAlignment="1" applyProtection="1">
      <alignment horizontal="center"/>
      <protection hidden="1"/>
    </xf>
    <xf numFmtId="2" fontId="24" fillId="36" borderId="20" xfId="0" applyNumberFormat="1" applyFont="1" applyFill="1" applyBorder="1" applyAlignment="1" applyProtection="1">
      <protection hidden="1"/>
    </xf>
    <xf numFmtId="166" fontId="26" fillId="36" borderId="20" xfId="0" applyFont="1" applyFill="1" applyBorder="1" applyAlignment="1" applyProtection="1">
      <alignment horizontal="right"/>
      <protection hidden="1"/>
    </xf>
    <xf numFmtId="166" fontId="24" fillId="36" borderId="22" xfId="0" applyFont="1" applyFill="1" applyBorder="1" applyProtection="1">
      <protection hidden="1"/>
    </xf>
    <xf numFmtId="166" fontId="24" fillId="36" borderId="11" xfId="0" applyFont="1" applyFill="1" applyBorder="1" applyProtection="1">
      <protection hidden="1"/>
    </xf>
    <xf numFmtId="2" fontId="24" fillId="36" borderId="11" xfId="0" applyNumberFormat="1" applyFont="1" applyFill="1" applyBorder="1" applyAlignment="1" applyProtection="1">
      <protection hidden="1"/>
    </xf>
    <xf numFmtId="166" fontId="26" fillId="36" borderId="11" xfId="0" applyFont="1" applyFill="1" applyBorder="1" applyAlignment="1" applyProtection="1">
      <alignment horizontal="right"/>
      <protection hidden="1"/>
    </xf>
    <xf numFmtId="166" fontId="24" fillId="36" borderId="11" xfId="0" applyFont="1" applyFill="1" applyBorder="1" applyAlignment="1" applyProtection="1">
      <protection hidden="1"/>
    </xf>
    <xf numFmtId="166" fontId="26" fillId="0" borderId="0" xfId="0" applyFont="1" applyProtection="1">
      <protection hidden="1"/>
    </xf>
    <xf numFmtId="166" fontId="24" fillId="36" borderId="11" xfId="0" applyFont="1" applyFill="1" applyBorder="1" applyAlignment="1" applyProtection="1">
      <alignment horizontal="center"/>
      <protection hidden="1"/>
    </xf>
    <xf numFmtId="166" fontId="26" fillId="36" borderId="24" xfId="0" applyNumberFormat="1" applyFont="1" applyFill="1" applyBorder="1" applyAlignment="1" applyProtection="1">
      <alignment horizontal="left"/>
      <protection hidden="1"/>
    </xf>
    <xf numFmtId="166" fontId="30" fillId="0" borderId="0" xfId="0" applyFont="1"/>
    <xf numFmtId="166" fontId="26" fillId="35" borderId="24" xfId="0" applyNumberFormat="1" applyFont="1" applyFill="1" applyBorder="1" applyAlignment="1" applyProtection="1">
      <alignment horizontal="left"/>
      <protection hidden="1"/>
    </xf>
    <xf numFmtId="166" fontId="26" fillId="35" borderId="0" xfId="0" applyFont="1" applyFill="1" applyBorder="1" applyProtection="1">
      <protection hidden="1"/>
    </xf>
    <xf numFmtId="165" fontId="21" fillId="35" borderId="0" xfId="0" applyNumberFormat="1" applyFont="1" applyFill="1" applyBorder="1" applyAlignment="1" applyProtection="1">
      <protection hidden="1"/>
    </xf>
    <xf numFmtId="166" fontId="64" fillId="35" borderId="0" xfId="0" applyFont="1" applyFill="1" applyBorder="1" applyAlignment="1" applyProtection="1">
      <protection hidden="1"/>
    </xf>
    <xf numFmtId="166" fontId="68" fillId="0" borderId="0" xfId="0" applyFont="1" applyProtection="1">
      <protection hidden="1"/>
    </xf>
    <xf numFmtId="166" fontId="21" fillId="0" borderId="0" xfId="0" applyFont="1" applyFill="1" applyBorder="1" applyProtection="1">
      <protection hidden="1"/>
    </xf>
    <xf numFmtId="166" fontId="22" fillId="0" borderId="0" xfId="0" applyFont="1"/>
    <xf numFmtId="166" fontId="23" fillId="0" borderId="14" xfId="0" applyFont="1" applyBorder="1" applyAlignment="1">
      <alignment horizontal="left"/>
    </xf>
    <xf numFmtId="166" fontId="23" fillId="0" borderId="14" xfId="0" applyFont="1" applyBorder="1"/>
    <xf numFmtId="166" fontId="23" fillId="0" borderId="0" xfId="43" applyFont="1"/>
    <xf numFmtId="166" fontId="21" fillId="0" borderId="0" xfId="43" applyAlignment="1">
      <alignment wrapText="1"/>
    </xf>
    <xf numFmtId="166" fontId="21" fillId="0" borderId="0" xfId="43"/>
    <xf numFmtId="166" fontId="21" fillId="0" borderId="0" xfId="43" applyAlignment="1"/>
    <xf numFmtId="166" fontId="23" fillId="0" borderId="0" xfId="43" applyFont="1" applyAlignment="1">
      <alignment wrapText="1"/>
    </xf>
    <xf numFmtId="166" fontId="21" fillId="0" borderId="14" xfId="43" applyBorder="1" applyAlignment="1">
      <alignment wrapText="1"/>
    </xf>
    <xf numFmtId="166" fontId="26" fillId="0" borderId="0" xfId="43" applyFont="1"/>
    <xf numFmtId="166" fontId="26" fillId="0" borderId="0" xfId="43" applyFont="1" applyAlignment="1">
      <alignment wrapText="1"/>
    </xf>
    <xf numFmtId="166" fontId="65" fillId="30" borderId="0" xfId="0" applyFont="1" applyFill="1" applyBorder="1" applyProtection="1">
      <protection hidden="1"/>
    </xf>
    <xf numFmtId="166" fontId="1" fillId="0" borderId="0" xfId="0" applyFont="1" applyBorder="1" applyProtection="1">
      <protection hidden="1"/>
    </xf>
    <xf numFmtId="166" fontId="1" fillId="0" borderId="0" xfId="0" applyFont="1" applyFill="1" applyBorder="1" applyProtection="1">
      <protection hidden="1"/>
    </xf>
    <xf numFmtId="17" fontId="45" fillId="30" borderId="0" xfId="0" quotePrefix="1" applyNumberFormat="1" applyFont="1" applyFill="1" applyAlignment="1" applyProtection="1">
      <alignment horizontal="left" vertical="center"/>
      <protection hidden="1"/>
    </xf>
    <xf numFmtId="166" fontId="45" fillId="30" borderId="0" xfId="0" applyFont="1" applyFill="1" applyAlignment="1" applyProtection="1">
      <alignment horizontal="left" vertical="center"/>
      <protection hidden="1"/>
    </xf>
    <xf numFmtId="166" fontId="43" fillId="35" borderId="0" xfId="0" applyFont="1" applyFill="1" applyProtection="1">
      <protection hidden="1"/>
    </xf>
    <xf numFmtId="166" fontId="43" fillId="30" borderId="11" xfId="0" quotePrefix="1" applyFont="1" applyFill="1" applyBorder="1" applyProtection="1">
      <protection hidden="1"/>
    </xf>
    <xf numFmtId="166" fontId="43" fillId="30" borderId="28" xfId="0" quotePrefix="1" applyFont="1" applyFill="1" applyBorder="1" applyAlignment="1" applyProtection="1">
      <alignment horizontal="right"/>
      <protection hidden="1"/>
    </xf>
    <xf numFmtId="166" fontId="63" fillId="30" borderId="0" xfId="0" applyFont="1" applyFill="1" applyBorder="1" applyProtection="1">
      <protection hidden="1"/>
    </xf>
    <xf numFmtId="166" fontId="63" fillId="30" borderId="24" xfId="0" applyFont="1" applyFill="1" applyBorder="1" applyProtection="1">
      <protection hidden="1"/>
    </xf>
    <xf numFmtId="166" fontId="46" fillId="35" borderId="0" xfId="0" applyFont="1" applyFill="1" applyBorder="1" applyAlignment="1" applyProtection="1">
      <protection hidden="1"/>
    </xf>
    <xf numFmtId="49" fontId="49" fillId="35" borderId="0" xfId="0" applyNumberFormat="1" applyFont="1" applyFill="1" applyBorder="1" applyAlignment="1" applyProtection="1">
      <protection hidden="1"/>
    </xf>
    <xf numFmtId="49" fontId="46" fillId="35" borderId="0" xfId="0" applyNumberFormat="1" applyFont="1" applyFill="1" applyBorder="1" applyAlignment="1" applyProtection="1">
      <protection hidden="1"/>
    </xf>
    <xf numFmtId="49" fontId="46" fillId="35" borderId="0" xfId="0" applyNumberFormat="1" applyFont="1" applyFill="1" applyBorder="1" applyProtection="1">
      <protection hidden="1"/>
    </xf>
    <xf numFmtId="166" fontId="46" fillId="35" borderId="0" xfId="0" applyFont="1" applyFill="1" applyBorder="1" applyProtection="1">
      <protection hidden="1"/>
    </xf>
    <xf numFmtId="166" fontId="26" fillId="35" borderId="24" xfId="0" applyFont="1" applyFill="1" applyBorder="1" applyProtection="1">
      <protection hidden="1"/>
    </xf>
    <xf numFmtId="166" fontId="21" fillId="35" borderId="11" xfId="0" applyFont="1" applyFill="1" applyBorder="1" applyAlignment="1" applyProtection="1">
      <alignment wrapText="1"/>
      <protection hidden="1"/>
    </xf>
    <xf numFmtId="166" fontId="0" fillId="39" borderId="14" xfId="0" applyFill="1" applyBorder="1" applyAlignment="1" applyProtection="1">
      <alignment horizontal="left"/>
      <protection hidden="1"/>
    </xf>
    <xf numFmtId="166" fontId="0" fillId="39" borderId="14" xfId="0" applyNumberFormat="1" applyFill="1" applyBorder="1" applyAlignment="1" applyProtection="1">
      <alignment horizontal="left"/>
      <protection hidden="1"/>
    </xf>
    <xf numFmtId="166" fontId="1" fillId="38" borderId="31" xfId="0" applyFont="1" applyFill="1" applyBorder="1" applyAlignment="1" applyProtection="1">
      <alignment horizontal="left"/>
      <protection hidden="1"/>
    </xf>
    <xf numFmtId="166" fontId="1" fillId="38" borderId="16" xfId="0" applyFont="1" applyFill="1" applyBorder="1" applyAlignment="1" applyProtection="1">
      <alignment horizontal="left"/>
      <protection hidden="1"/>
    </xf>
    <xf numFmtId="166" fontId="1" fillId="40" borderId="31" xfId="0" applyFont="1" applyFill="1" applyBorder="1" applyAlignment="1" applyProtection="1">
      <alignment horizontal="left"/>
      <protection hidden="1"/>
    </xf>
    <xf numFmtId="166" fontId="1" fillId="40" borderId="16" xfId="0" applyFont="1" applyFill="1" applyBorder="1" applyAlignment="1" applyProtection="1">
      <alignment horizontal="left"/>
      <protection hidden="1"/>
    </xf>
    <xf numFmtId="166" fontId="1" fillId="40" borderId="13" xfId="0" applyFont="1" applyFill="1" applyBorder="1" applyAlignment="1" applyProtection="1">
      <alignment horizontal="left"/>
      <protection hidden="1"/>
    </xf>
    <xf numFmtId="166" fontId="69" fillId="0" borderId="14" xfId="0" applyFont="1" applyBorder="1" applyProtection="1">
      <protection hidden="1"/>
    </xf>
    <xf numFmtId="49" fontId="46" fillId="30" borderId="0" xfId="0" applyNumberFormat="1" applyFont="1" applyFill="1" applyBorder="1" applyAlignment="1" applyProtection="1">
      <protection hidden="1"/>
    </xf>
    <xf numFmtId="166" fontId="43" fillId="30" borderId="0" xfId="0" quotePrefix="1" applyFont="1" applyFill="1" applyBorder="1" applyAlignment="1" applyProtection="1">
      <alignment horizontal="right"/>
      <protection hidden="1"/>
    </xf>
    <xf numFmtId="166" fontId="46" fillId="35" borderId="0" xfId="0" applyFont="1" applyFill="1" applyProtection="1">
      <protection hidden="1"/>
    </xf>
    <xf numFmtId="166" fontId="46" fillId="35" borderId="26" xfId="0" applyFont="1" applyFill="1" applyBorder="1" applyProtection="1">
      <protection hidden="1"/>
    </xf>
    <xf numFmtId="166" fontId="66" fillId="36" borderId="0" xfId="0" applyNumberFormat="1" applyFont="1" applyFill="1" applyBorder="1" applyAlignment="1" applyProtection="1">
      <protection hidden="1"/>
    </xf>
    <xf numFmtId="166" fontId="66" fillId="36" borderId="11" xfId="0" applyNumberFormat="1" applyFont="1" applyFill="1" applyBorder="1" applyAlignment="1" applyProtection="1">
      <protection hidden="1"/>
    </xf>
    <xf numFmtId="166" fontId="43" fillId="30" borderId="0" xfId="0" applyFont="1" applyFill="1" applyBorder="1" applyAlignment="1" applyProtection="1">
      <alignment horizontal="right"/>
      <protection hidden="1"/>
    </xf>
    <xf numFmtId="166" fontId="69" fillId="41" borderId="14" xfId="0" applyFont="1" applyFill="1" applyBorder="1" applyProtection="1">
      <protection hidden="1"/>
    </xf>
    <xf numFmtId="166" fontId="69" fillId="42" borderId="14" xfId="0" applyFont="1" applyFill="1" applyBorder="1" applyProtection="1">
      <protection hidden="1"/>
    </xf>
    <xf numFmtId="166" fontId="69" fillId="41" borderId="14" xfId="0" quotePrefix="1" applyFont="1" applyFill="1" applyBorder="1" applyProtection="1">
      <protection hidden="1"/>
    </xf>
    <xf numFmtId="166" fontId="69" fillId="43" borderId="14" xfId="0" applyFont="1" applyFill="1" applyBorder="1" applyProtection="1">
      <protection hidden="1"/>
    </xf>
    <xf numFmtId="166" fontId="69" fillId="43" borderId="14" xfId="0" quotePrefix="1" applyFont="1" applyFill="1" applyBorder="1" applyProtection="1">
      <protection hidden="1"/>
    </xf>
    <xf numFmtId="166" fontId="70" fillId="30" borderId="0" xfId="0" applyFont="1" applyFill="1" applyBorder="1" applyProtection="1">
      <protection hidden="1"/>
    </xf>
    <xf numFmtId="166" fontId="70" fillId="30" borderId="0" xfId="0" applyFont="1" applyFill="1" applyBorder="1" applyAlignment="1" applyProtection="1">
      <alignment horizontal="right"/>
      <protection hidden="1"/>
    </xf>
    <xf numFmtId="166" fontId="52" fillId="30" borderId="0" xfId="0" applyFont="1" applyFill="1" applyBorder="1" applyAlignment="1" applyProtection="1">
      <alignment horizontal="center"/>
      <protection hidden="1"/>
    </xf>
    <xf numFmtId="166" fontId="43" fillId="35" borderId="0" xfId="0" applyFont="1" applyFill="1" applyBorder="1" applyProtection="1">
      <protection hidden="1"/>
    </xf>
    <xf numFmtId="165" fontId="21" fillId="35" borderId="11" xfId="0" applyNumberFormat="1" applyFont="1" applyFill="1" applyBorder="1" applyAlignment="1" applyProtection="1">
      <protection hidden="1"/>
    </xf>
    <xf numFmtId="166" fontId="26" fillId="35" borderId="0" xfId="0" applyNumberFormat="1" applyFont="1" applyFill="1" applyBorder="1" applyAlignment="1" applyProtection="1">
      <alignment horizontal="left"/>
      <protection hidden="1"/>
    </xf>
    <xf numFmtId="166" fontId="26" fillId="35" borderId="0" xfId="0" applyNumberFormat="1" applyFont="1" applyFill="1" applyBorder="1" applyAlignment="1" applyProtection="1">
      <alignment horizontal="right"/>
      <protection hidden="1"/>
    </xf>
    <xf numFmtId="166" fontId="21" fillId="35" borderId="0" xfId="0" applyFont="1" applyFill="1" applyProtection="1">
      <protection hidden="1"/>
    </xf>
    <xf numFmtId="166" fontId="43" fillId="35" borderId="0" xfId="0" applyFont="1" applyFill="1" applyBorder="1" applyAlignment="1" applyProtection="1">
      <protection hidden="1"/>
    </xf>
    <xf numFmtId="166" fontId="24" fillId="36" borderId="0" xfId="0" applyNumberFormat="1" applyFont="1" applyFill="1" applyBorder="1" applyAlignment="1" applyProtection="1">
      <protection hidden="1"/>
    </xf>
    <xf numFmtId="166" fontId="26" fillId="35" borderId="11" xfId="0" applyFont="1" applyFill="1" applyBorder="1" applyProtection="1">
      <protection hidden="1"/>
    </xf>
    <xf numFmtId="167" fontId="44" fillId="30" borderId="0" xfId="0" applyNumberFormat="1" applyFont="1" applyFill="1" applyAlignment="1" applyProtection="1">
      <alignment horizontal="center"/>
      <protection hidden="1"/>
    </xf>
    <xf numFmtId="166" fontId="26" fillId="0" borderId="0" xfId="0" applyFont="1" applyAlignment="1" applyProtection="1">
      <alignment horizontal="left"/>
      <protection hidden="1"/>
    </xf>
    <xf numFmtId="166" fontId="26" fillId="0" borderId="0" xfId="0" applyFont="1" applyBorder="1" applyAlignment="1" applyProtection="1">
      <alignment horizontal="left"/>
      <protection hidden="1"/>
    </xf>
    <xf numFmtId="166" fontId="26" fillId="0" borderId="24" xfId="0" applyFont="1" applyBorder="1" applyProtection="1">
      <protection hidden="1"/>
    </xf>
    <xf numFmtId="166" fontId="24" fillId="35" borderId="0" xfId="0" quotePrefix="1" applyFont="1" applyFill="1" applyBorder="1" applyAlignment="1" applyProtection="1">
      <alignment horizontal="left"/>
      <protection hidden="1"/>
    </xf>
    <xf numFmtId="166" fontId="26" fillId="35" borderId="11" xfId="0" quotePrefix="1" applyFont="1" applyFill="1" applyBorder="1" applyAlignment="1" applyProtection="1">
      <alignment horizontal="left"/>
      <protection hidden="1"/>
    </xf>
    <xf numFmtId="2" fontId="26" fillId="35" borderId="11" xfId="0" applyNumberFormat="1" applyFont="1" applyFill="1" applyBorder="1" applyAlignment="1" applyProtection="1">
      <protection hidden="1"/>
    </xf>
    <xf numFmtId="166" fontId="24" fillId="35" borderId="24" xfId="0" applyFont="1" applyFill="1" applyBorder="1" applyAlignment="1" applyProtection="1">
      <alignment horizontal="center"/>
      <protection hidden="1"/>
    </xf>
    <xf numFmtId="164" fontId="24" fillId="35" borderId="0" xfId="0" applyNumberFormat="1" applyFont="1" applyFill="1" applyBorder="1" applyAlignment="1" applyProtection="1">
      <protection hidden="1"/>
    </xf>
    <xf numFmtId="166" fontId="26" fillId="35" borderId="24" xfId="0" applyFont="1" applyFill="1" applyBorder="1" applyAlignment="1" applyProtection="1">
      <alignment horizontal="center"/>
      <protection hidden="1"/>
    </xf>
    <xf numFmtId="1" fontId="26" fillId="35" borderId="0" xfId="0" applyNumberFormat="1" applyFont="1" applyFill="1" applyBorder="1" applyAlignment="1" applyProtection="1">
      <alignment horizontal="center"/>
      <protection hidden="1"/>
    </xf>
    <xf numFmtId="1" fontId="26" fillId="35" borderId="26" xfId="0" applyNumberFormat="1" applyFont="1" applyFill="1" applyBorder="1" applyAlignment="1" applyProtection="1">
      <alignment horizontal="center"/>
      <protection hidden="1"/>
    </xf>
    <xf numFmtId="166" fontId="26" fillId="35" borderId="29" xfId="0" applyFont="1" applyFill="1" applyBorder="1" applyProtection="1">
      <protection hidden="1"/>
    </xf>
    <xf numFmtId="166" fontId="26" fillId="35" borderId="20" xfId="0" applyFont="1" applyFill="1" applyBorder="1" applyProtection="1">
      <protection hidden="1"/>
    </xf>
    <xf numFmtId="166" fontId="69" fillId="30" borderId="24" xfId="0" applyFont="1" applyFill="1" applyBorder="1" applyProtection="1">
      <protection hidden="1"/>
    </xf>
    <xf numFmtId="166" fontId="57" fillId="36" borderId="20" xfId="0" applyFont="1" applyFill="1" applyBorder="1" applyAlignment="1" applyProtection="1">
      <protection hidden="1"/>
    </xf>
    <xf numFmtId="166" fontId="21" fillId="35" borderId="28" xfId="0" applyFont="1" applyFill="1" applyBorder="1" applyAlignment="1" applyProtection="1">
      <protection hidden="1"/>
    </xf>
    <xf numFmtId="166" fontId="1" fillId="36" borderId="29" xfId="0" applyFont="1" applyFill="1" applyBorder="1" applyProtection="1">
      <protection hidden="1"/>
    </xf>
    <xf numFmtId="166" fontId="1" fillId="36" borderId="20" xfId="0" applyFont="1" applyFill="1" applyBorder="1" applyProtection="1">
      <protection hidden="1"/>
    </xf>
    <xf numFmtId="166" fontId="32" fillId="36" borderId="20" xfId="0" applyFont="1" applyFill="1" applyBorder="1" applyAlignment="1" applyProtection="1">
      <alignment horizontal="center"/>
      <protection hidden="1"/>
    </xf>
    <xf numFmtId="166" fontId="1" fillId="36" borderId="30" xfId="0" applyFont="1" applyFill="1" applyBorder="1" applyProtection="1">
      <protection hidden="1"/>
    </xf>
    <xf numFmtId="166" fontId="23" fillId="35" borderId="0" xfId="0" applyFont="1" applyFill="1"/>
    <xf numFmtId="166" fontId="27" fillId="35" borderId="0" xfId="0" applyFont="1" applyFill="1" applyBorder="1" applyAlignment="1" applyProtection="1">
      <protection hidden="1"/>
    </xf>
    <xf numFmtId="166" fontId="27" fillId="35" borderId="24" xfId="0" applyNumberFormat="1" applyFont="1" applyFill="1" applyBorder="1" applyAlignment="1" applyProtection="1">
      <alignment horizontal="left"/>
      <protection hidden="1"/>
    </xf>
    <xf numFmtId="166" fontId="32" fillId="35" borderId="20" xfId="0" applyFont="1" applyFill="1" applyBorder="1" applyAlignment="1" applyProtection="1">
      <protection hidden="1"/>
    </xf>
    <xf numFmtId="166" fontId="23" fillId="35" borderId="20" xfId="0" applyFont="1" applyFill="1" applyBorder="1" applyAlignment="1" applyProtection="1">
      <protection hidden="1"/>
    </xf>
    <xf numFmtId="166" fontId="32" fillId="35" borderId="20" xfId="0" applyFont="1" applyFill="1" applyBorder="1" applyAlignment="1" applyProtection="1">
      <alignment horizontal="center"/>
      <protection hidden="1"/>
    </xf>
    <xf numFmtId="166" fontId="55" fillId="30" borderId="22" xfId="0" applyFont="1" applyFill="1" applyBorder="1" applyProtection="1">
      <protection hidden="1"/>
    </xf>
    <xf numFmtId="166" fontId="55" fillId="30" borderId="11" xfId="0" applyFont="1" applyFill="1" applyBorder="1" applyProtection="1">
      <protection hidden="1"/>
    </xf>
    <xf numFmtId="166" fontId="52" fillId="35" borderId="29" xfId="0" applyFont="1" applyFill="1" applyBorder="1" applyProtection="1">
      <protection hidden="1"/>
    </xf>
    <xf numFmtId="166" fontId="52" fillId="35" borderId="20" xfId="0" applyFont="1" applyFill="1" applyBorder="1" applyProtection="1">
      <protection hidden="1"/>
    </xf>
    <xf numFmtId="166" fontId="43" fillId="35" borderId="20" xfId="0" applyFont="1" applyFill="1" applyBorder="1" applyProtection="1">
      <protection hidden="1"/>
    </xf>
    <xf numFmtId="166" fontId="47" fillId="35" borderId="20" xfId="0" applyFont="1" applyFill="1" applyBorder="1" applyProtection="1">
      <protection hidden="1"/>
    </xf>
    <xf numFmtId="166" fontId="43" fillId="35" borderId="30" xfId="0" applyFont="1" applyFill="1" applyBorder="1" applyProtection="1">
      <protection hidden="1"/>
    </xf>
    <xf numFmtId="166" fontId="46" fillId="35" borderId="24" xfId="0" applyFont="1" applyFill="1" applyBorder="1" applyProtection="1">
      <protection hidden="1"/>
    </xf>
    <xf numFmtId="166" fontId="46" fillId="35" borderId="24" xfId="0" applyFont="1" applyFill="1" applyBorder="1" applyAlignment="1" applyProtection="1">
      <alignment horizontal="center"/>
      <protection hidden="1"/>
    </xf>
    <xf numFmtId="166" fontId="46" fillId="35" borderId="0" xfId="0" applyFont="1" applyFill="1" applyAlignment="1" applyProtection="1">
      <protection hidden="1"/>
    </xf>
    <xf numFmtId="166" fontId="46" fillId="35" borderId="0" xfId="0" applyFont="1" applyFill="1" applyAlignment="1" applyProtection="1">
      <alignment horizontal="right"/>
      <protection hidden="1"/>
    </xf>
    <xf numFmtId="166" fontId="46" fillId="35" borderId="0" xfId="0" applyFont="1" applyFill="1" applyAlignment="1" applyProtection="1">
      <alignment horizontal="left"/>
      <protection hidden="1"/>
    </xf>
    <xf numFmtId="166" fontId="51" fillId="30" borderId="0" xfId="0" applyFont="1" applyFill="1" applyProtection="1">
      <protection hidden="1"/>
    </xf>
    <xf numFmtId="166" fontId="76" fillId="35" borderId="24" xfId="0" applyFont="1" applyFill="1" applyBorder="1" applyProtection="1">
      <protection hidden="1"/>
    </xf>
    <xf numFmtId="166" fontId="21" fillId="35" borderId="0" xfId="0" applyNumberFormat="1" applyFont="1" applyFill="1" applyBorder="1" applyAlignment="1" applyProtection="1">
      <protection hidden="1"/>
    </xf>
    <xf numFmtId="166" fontId="27" fillId="35" borderId="0" xfId="0" applyFont="1" applyFill="1" applyBorder="1" applyAlignment="1" applyProtection="1">
      <alignment horizontal="right"/>
      <protection hidden="1"/>
    </xf>
    <xf numFmtId="167" fontId="0" fillId="0" borderId="14" xfId="0" applyNumberFormat="1" applyBorder="1" applyAlignment="1" applyProtection="1">
      <alignment vertical="top" wrapText="1"/>
      <protection locked="0"/>
    </xf>
    <xf numFmtId="166" fontId="0" fillId="0" borderId="14" xfId="0" applyBorder="1" applyAlignment="1" applyProtection="1">
      <alignment vertical="top" wrapText="1"/>
      <protection locked="0"/>
    </xf>
    <xf numFmtId="166" fontId="26" fillId="35" borderId="0" xfId="0" applyFont="1" applyFill="1" applyBorder="1" applyAlignment="1" applyProtection="1">
      <alignment horizontal="right"/>
      <protection hidden="1"/>
    </xf>
    <xf numFmtId="166" fontId="26" fillId="30" borderId="0" xfId="0" applyFont="1" applyFill="1" applyBorder="1" applyAlignment="1" applyProtection="1">
      <alignment horizontal="right"/>
      <protection hidden="1"/>
    </xf>
    <xf numFmtId="166" fontId="26" fillId="30" borderId="0" xfId="0" applyFont="1" applyFill="1" applyBorder="1" applyAlignment="1" applyProtection="1">
      <alignment horizontal="left"/>
      <protection hidden="1"/>
    </xf>
    <xf numFmtId="166" fontId="74" fillId="35" borderId="22" xfId="0" applyFont="1" applyFill="1" applyBorder="1" applyProtection="1">
      <protection hidden="1"/>
    </xf>
    <xf numFmtId="166" fontId="21" fillId="26" borderId="14" xfId="43" applyFill="1" applyBorder="1" applyProtection="1">
      <protection locked="0"/>
    </xf>
    <xf numFmtId="166" fontId="21" fillId="0" borderId="14" xfId="43" applyBorder="1" applyAlignment="1" applyProtection="1">
      <alignment wrapText="1"/>
      <protection locked="0"/>
    </xf>
    <xf numFmtId="166" fontId="21" fillId="0" borderId="0" xfId="43" applyProtection="1">
      <protection locked="0"/>
    </xf>
    <xf numFmtId="166" fontId="57" fillId="35" borderId="24" xfId="0" applyFont="1" applyFill="1" applyBorder="1" applyAlignment="1" applyProtection="1">
      <alignment horizontal="left"/>
      <protection hidden="1"/>
    </xf>
    <xf numFmtId="166" fontId="73" fillId="35" borderId="0" xfId="0" applyFont="1" applyFill="1" applyBorder="1" applyAlignment="1" applyProtection="1">
      <alignment horizontal="left"/>
      <protection hidden="1"/>
    </xf>
    <xf numFmtId="166" fontId="23" fillId="35" borderId="0" xfId="0" applyFont="1" applyFill="1" applyBorder="1" applyProtection="1">
      <protection hidden="1"/>
    </xf>
    <xf numFmtId="166" fontId="23" fillId="35" borderId="0" xfId="0" applyFont="1" applyFill="1" applyBorder="1" applyAlignment="1" applyProtection="1">
      <alignment horizontal="left"/>
      <protection hidden="1"/>
    </xf>
    <xf numFmtId="166" fontId="73" fillId="35" borderId="0" xfId="0" applyFont="1" applyFill="1" applyBorder="1" applyAlignment="1" applyProtection="1">
      <alignment horizontal="right"/>
      <protection hidden="1"/>
    </xf>
    <xf numFmtId="166" fontId="21" fillId="30" borderId="32" xfId="0" applyFont="1" applyFill="1" applyBorder="1" applyAlignment="1" applyProtection="1">
      <alignment horizontal="left"/>
      <protection hidden="1"/>
    </xf>
    <xf numFmtId="166" fontId="21" fillId="30" borderId="12" xfId="0" applyFont="1" applyFill="1" applyBorder="1" applyProtection="1">
      <protection hidden="1"/>
    </xf>
    <xf numFmtId="166" fontId="21" fillId="30" borderId="12" xfId="0" applyFont="1" applyFill="1" applyBorder="1" applyAlignment="1" applyProtection="1">
      <alignment horizontal="left"/>
      <protection hidden="1"/>
    </xf>
    <xf numFmtId="166" fontId="43" fillId="35" borderId="11" xfId="0" applyFont="1" applyFill="1" applyBorder="1" applyProtection="1">
      <protection hidden="1"/>
    </xf>
    <xf numFmtId="166" fontId="1" fillId="38" borderId="13" xfId="0" applyFont="1" applyFill="1" applyBorder="1" applyAlignment="1" applyProtection="1">
      <alignment horizontal="left"/>
      <protection hidden="1"/>
    </xf>
    <xf numFmtId="166" fontId="43" fillId="0" borderId="14" xfId="0" applyFont="1" applyBorder="1" applyProtection="1">
      <protection hidden="1"/>
    </xf>
    <xf numFmtId="166" fontId="46" fillId="0" borderId="14" xfId="0" applyFont="1" applyBorder="1" applyProtection="1">
      <protection hidden="1"/>
    </xf>
    <xf numFmtId="166" fontId="43" fillId="0" borderId="14" xfId="0" applyFont="1" applyBorder="1" applyAlignment="1" applyProtection="1">
      <alignment horizontal="center"/>
      <protection hidden="1"/>
    </xf>
    <xf numFmtId="166" fontId="34" fillId="0" borderId="14" xfId="0" applyFont="1" applyBorder="1" applyAlignment="1" applyProtection="1">
      <alignment horizontal="center"/>
      <protection hidden="1"/>
    </xf>
    <xf numFmtId="166" fontId="69" fillId="0" borderId="0" xfId="0" applyFont="1" applyAlignment="1" applyProtection="1">
      <alignment horizontal="center"/>
      <protection hidden="1"/>
    </xf>
    <xf numFmtId="166" fontId="69" fillId="46" borderId="14" xfId="0" applyFont="1" applyFill="1" applyBorder="1" applyProtection="1">
      <protection hidden="1"/>
    </xf>
    <xf numFmtId="166" fontId="55" fillId="30" borderId="0" xfId="0" applyFont="1" applyFill="1" applyAlignment="1" applyProtection="1">
      <alignment horizontal="right" vertical="center"/>
      <protection hidden="1"/>
    </xf>
    <xf numFmtId="166" fontId="69" fillId="0" borderId="0" xfId="0" applyFont="1" applyProtection="1">
      <protection hidden="1"/>
    </xf>
    <xf numFmtId="166" fontId="69" fillId="0" borderId="0" xfId="0" quotePrefix="1" applyFont="1" applyProtection="1">
      <protection hidden="1"/>
    </xf>
    <xf numFmtId="166" fontId="43" fillId="35" borderId="0" xfId="0" applyFont="1" applyFill="1" applyAlignment="1" applyProtection="1">
      <alignment horizontal="center"/>
      <protection hidden="1"/>
    </xf>
    <xf numFmtId="166" fontId="43" fillId="35" borderId="0" xfId="0" quotePrefix="1" applyFont="1" applyFill="1" applyProtection="1">
      <protection hidden="1"/>
    </xf>
    <xf numFmtId="166" fontId="43" fillId="30" borderId="32" xfId="0" applyFont="1" applyFill="1" applyBorder="1" applyAlignment="1" applyProtection="1">
      <alignment vertical="top"/>
      <protection hidden="1"/>
    </xf>
    <xf numFmtId="166" fontId="75" fillId="30" borderId="0" xfId="0" applyFont="1" applyFill="1" applyBorder="1" applyProtection="1">
      <protection hidden="1"/>
    </xf>
    <xf numFmtId="166" fontId="24" fillId="0" borderId="0" xfId="0" applyFont="1" applyProtection="1">
      <protection hidden="1"/>
    </xf>
    <xf numFmtId="166" fontId="24" fillId="0" borderId="23" xfId="0" applyFont="1" applyBorder="1" applyProtection="1">
      <protection hidden="1"/>
    </xf>
    <xf numFmtId="166" fontId="24" fillId="0" borderId="42" xfId="0" applyFont="1" applyBorder="1" applyProtection="1">
      <protection hidden="1"/>
    </xf>
    <xf numFmtId="166" fontId="76" fillId="36" borderId="24" xfId="0" applyFont="1" applyFill="1" applyBorder="1" applyProtection="1">
      <protection hidden="1"/>
    </xf>
    <xf numFmtId="166" fontId="81" fillId="0" borderId="0" xfId="0" applyFont="1" applyProtection="1">
      <protection hidden="1"/>
    </xf>
    <xf numFmtId="166" fontId="1" fillId="30" borderId="0" xfId="0" applyFont="1" applyFill="1" applyBorder="1" applyProtection="1">
      <protection hidden="1"/>
    </xf>
    <xf numFmtId="166" fontId="26" fillId="30" borderId="11" xfId="0" applyFont="1" applyFill="1" applyBorder="1" applyProtection="1">
      <protection hidden="1"/>
    </xf>
    <xf numFmtId="166" fontId="37" fillId="30" borderId="24" xfId="0" applyFont="1" applyFill="1" applyBorder="1" applyProtection="1">
      <protection hidden="1"/>
    </xf>
    <xf numFmtId="166" fontId="74" fillId="35" borderId="0" xfId="0" applyFont="1" applyFill="1" applyBorder="1" applyProtection="1">
      <protection hidden="1"/>
    </xf>
    <xf numFmtId="166" fontId="26" fillId="36" borderId="0" xfId="0" applyNumberFormat="1" applyFont="1" applyFill="1" applyBorder="1" applyAlignment="1" applyProtection="1">
      <alignment horizontal="left"/>
      <protection hidden="1"/>
    </xf>
    <xf numFmtId="166" fontId="21" fillId="35" borderId="11" xfId="0" applyFont="1" applyFill="1" applyBorder="1" applyAlignment="1" applyProtection="1">
      <alignment horizontal="center"/>
      <protection hidden="1"/>
    </xf>
    <xf numFmtId="166" fontId="26" fillId="35" borderId="0" xfId="0" applyFont="1" applyFill="1" applyBorder="1" applyAlignment="1" applyProtection="1">
      <alignment horizontal="left"/>
      <protection hidden="1"/>
    </xf>
    <xf numFmtId="166" fontId="26" fillId="36" borderId="0" xfId="0" applyFont="1" applyFill="1" applyBorder="1" applyProtection="1">
      <protection hidden="1"/>
    </xf>
    <xf numFmtId="166" fontId="79" fillId="36" borderId="0" xfId="0" applyNumberFormat="1" applyFont="1" applyFill="1" applyBorder="1" applyAlignment="1" applyProtection="1">
      <protection hidden="1"/>
    </xf>
    <xf numFmtId="166" fontId="26" fillId="36" borderId="0" xfId="0" applyNumberFormat="1" applyFont="1" applyFill="1" applyBorder="1" applyAlignment="1" applyProtection="1">
      <protection hidden="1"/>
    </xf>
    <xf numFmtId="166" fontId="26" fillId="36" borderId="11" xfId="0" applyFont="1" applyFill="1" applyBorder="1" applyProtection="1">
      <protection hidden="1"/>
    </xf>
    <xf numFmtId="166" fontId="79" fillId="36" borderId="11" xfId="0" applyNumberFormat="1" applyFont="1" applyFill="1" applyBorder="1" applyAlignment="1" applyProtection="1">
      <protection hidden="1"/>
    </xf>
    <xf numFmtId="166" fontId="26" fillId="36" borderId="11" xfId="0" applyNumberFormat="1" applyFont="1" applyFill="1" applyBorder="1" applyAlignment="1" applyProtection="1">
      <protection hidden="1"/>
    </xf>
    <xf numFmtId="166" fontId="24" fillId="36" borderId="0" xfId="0" applyNumberFormat="1" applyFont="1" applyFill="1" applyBorder="1" applyAlignment="1" applyProtection="1">
      <alignment horizontal="left"/>
      <protection hidden="1"/>
    </xf>
    <xf numFmtId="166" fontId="21" fillId="30" borderId="11" xfId="0" applyFont="1" applyFill="1" applyBorder="1" applyAlignment="1" applyProtection="1">
      <protection hidden="1"/>
    </xf>
    <xf numFmtId="166" fontId="26" fillId="35" borderId="0" xfId="0" applyFont="1" applyFill="1" applyAlignment="1" applyProtection="1">
      <alignment horizontal="right"/>
      <protection hidden="1"/>
    </xf>
    <xf numFmtId="166" fontId="43" fillId="38" borderId="14" xfId="0" applyFont="1" applyFill="1" applyBorder="1" applyAlignment="1" applyProtection="1">
      <alignment horizontal="center"/>
      <protection hidden="1"/>
    </xf>
    <xf numFmtId="166" fontId="69" fillId="38" borderId="0" xfId="0" applyFont="1" applyFill="1" applyProtection="1">
      <protection hidden="1"/>
    </xf>
    <xf numFmtId="166" fontId="69" fillId="38" borderId="14" xfId="0" applyFont="1" applyFill="1" applyBorder="1" applyProtection="1">
      <protection hidden="1"/>
    </xf>
    <xf numFmtId="166" fontId="69" fillId="38" borderId="14" xfId="0" quotePrefix="1" applyFont="1" applyFill="1" applyBorder="1" applyProtection="1">
      <protection hidden="1"/>
    </xf>
    <xf numFmtId="166" fontId="24" fillId="37" borderId="23" xfId="0" applyFont="1" applyFill="1" applyBorder="1" applyProtection="1">
      <protection hidden="1"/>
    </xf>
    <xf numFmtId="166" fontId="24" fillId="37" borderId="42" xfId="0" applyFont="1" applyFill="1" applyBorder="1" applyProtection="1">
      <protection hidden="1"/>
    </xf>
    <xf numFmtId="166" fontId="20" fillId="0" borderId="0" xfId="0" applyFont="1" applyProtection="1">
      <protection hidden="1"/>
    </xf>
    <xf numFmtId="166" fontId="26" fillId="0" borderId="0" xfId="0" applyFont="1" applyBorder="1" applyProtection="1">
      <protection hidden="1"/>
    </xf>
    <xf numFmtId="166" fontId="23" fillId="35" borderId="0" xfId="0" applyFont="1" applyFill="1" applyProtection="1">
      <protection hidden="1"/>
    </xf>
    <xf numFmtId="169" fontId="24" fillId="0" borderId="0" xfId="0" applyNumberFormat="1" applyFont="1" applyProtection="1">
      <protection hidden="1"/>
    </xf>
    <xf numFmtId="166" fontId="21" fillId="35" borderId="0" xfId="0" applyFont="1" applyFill="1" applyBorder="1" applyAlignment="1" applyProtection="1">
      <alignment horizontal="right"/>
      <protection hidden="1"/>
    </xf>
    <xf numFmtId="166" fontId="23" fillId="35" borderId="20" xfId="0" applyFont="1" applyFill="1" applyBorder="1" applyProtection="1">
      <protection hidden="1"/>
    </xf>
    <xf numFmtId="166" fontId="21" fillId="35" borderId="29" xfId="0" applyFont="1" applyFill="1" applyBorder="1" applyProtection="1">
      <protection hidden="1"/>
    </xf>
    <xf numFmtId="166" fontId="21" fillId="35" borderId="20" xfId="0" applyFont="1" applyFill="1" applyBorder="1" applyAlignment="1" applyProtection="1">
      <protection hidden="1"/>
    </xf>
    <xf numFmtId="166" fontId="24" fillId="35" borderId="20" xfId="0" applyFont="1" applyFill="1" applyBorder="1" applyProtection="1">
      <protection hidden="1"/>
    </xf>
    <xf numFmtId="166" fontId="1" fillId="35" borderId="22" xfId="0" applyFont="1" applyFill="1" applyBorder="1" applyProtection="1">
      <protection hidden="1"/>
    </xf>
    <xf numFmtId="166" fontId="28" fillId="35" borderId="11" xfId="0" applyFont="1" applyFill="1" applyBorder="1" applyProtection="1">
      <protection hidden="1"/>
    </xf>
    <xf numFmtId="166" fontId="21" fillId="0" borderId="0" xfId="0" applyFont="1" applyBorder="1" applyProtection="1">
      <protection locked="0"/>
    </xf>
    <xf numFmtId="166" fontId="21" fillId="0" borderId="24" xfId="0" applyFont="1" applyBorder="1" applyProtection="1">
      <protection locked="0"/>
    </xf>
    <xf numFmtId="166" fontId="21" fillId="0" borderId="26" xfId="0" applyFont="1" applyBorder="1" applyProtection="1">
      <protection locked="0"/>
    </xf>
    <xf numFmtId="166" fontId="21" fillId="0" borderId="22" xfId="0" applyFont="1" applyBorder="1" applyProtection="1">
      <protection locked="0"/>
    </xf>
    <xf numFmtId="166" fontId="21" fillId="0" borderId="11" xfId="0" applyFont="1" applyBorder="1" applyProtection="1">
      <protection locked="0"/>
    </xf>
    <xf numFmtId="166" fontId="21" fillId="0" borderId="28" xfId="0" applyFont="1" applyBorder="1" applyProtection="1">
      <protection locked="0"/>
    </xf>
    <xf numFmtId="166" fontId="87" fillId="0" borderId="0" xfId="0" applyFont="1" applyProtection="1">
      <protection hidden="1"/>
    </xf>
    <xf numFmtId="166" fontId="75" fillId="35" borderId="0" xfId="0" applyFont="1" applyFill="1" applyBorder="1" applyProtection="1">
      <protection hidden="1"/>
    </xf>
    <xf numFmtId="166" fontId="43" fillId="37" borderId="0" xfId="0" applyFont="1" applyFill="1" applyBorder="1" applyProtection="1">
      <protection hidden="1"/>
    </xf>
    <xf numFmtId="166" fontId="41" fillId="35" borderId="0" xfId="0" applyFont="1" applyFill="1" applyProtection="1">
      <protection hidden="1"/>
    </xf>
    <xf numFmtId="166" fontId="43" fillId="0" borderId="0" xfId="0" applyFont="1" applyAlignment="1" applyProtection="1">
      <alignment vertical="top" wrapText="1"/>
      <protection hidden="1"/>
    </xf>
    <xf numFmtId="166" fontId="1" fillId="26" borderId="0" xfId="0" applyFont="1" applyFill="1" applyProtection="1">
      <protection hidden="1"/>
    </xf>
    <xf numFmtId="166" fontId="21" fillId="0" borderId="29" xfId="0" applyFont="1" applyBorder="1" applyProtection="1">
      <protection hidden="1"/>
    </xf>
    <xf numFmtId="166" fontId="21" fillId="0" borderId="20" xfId="0" applyFont="1" applyBorder="1" applyProtection="1">
      <protection hidden="1"/>
    </xf>
    <xf numFmtId="166" fontId="24" fillId="37" borderId="24" xfId="0" applyFont="1" applyFill="1" applyBorder="1" applyProtection="1">
      <protection hidden="1"/>
    </xf>
    <xf numFmtId="166" fontId="24" fillId="37" borderId="0" xfId="0" applyFont="1" applyFill="1" applyBorder="1" applyProtection="1">
      <protection hidden="1"/>
    </xf>
    <xf numFmtId="166" fontId="24" fillId="0" borderId="0" xfId="0" applyFont="1" applyBorder="1" applyProtection="1">
      <protection hidden="1"/>
    </xf>
    <xf numFmtId="166" fontId="24" fillId="0" borderId="26" xfId="0" applyFont="1" applyBorder="1" applyProtection="1">
      <protection hidden="1"/>
    </xf>
    <xf numFmtId="166" fontId="80" fillId="37" borderId="24" xfId="0" applyFont="1" applyFill="1" applyBorder="1" applyProtection="1">
      <protection hidden="1"/>
    </xf>
    <xf numFmtId="166" fontId="24" fillId="37" borderId="25" xfId="0" applyFont="1" applyFill="1" applyBorder="1" applyProtection="1">
      <protection hidden="1"/>
    </xf>
    <xf numFmtId="166" fontId="28" fillId="0" borderId="25" xfId="0" applyFont="1" applyBorder="1" applyProtection="1">
      <protection hidden="1"/>
    </xf>
    <xf numFmtId="166" fontId="24" fillId="0" borderId="0" xfId="0" applyFont="1" applyBorder="1"/>
    <xf numFmtId="166" fontId="21" fillId="0" borderId="24" xfId="0" applyFont="1" applyBorder="1" applyProtection="1">
      <protection hidden="1"/>
    </xf>
    <xf numFmtId="166" fontId="21" fillId="0" borderId="26" xfId="0" applyFont="1" applyBorder="1" applyProtection="1">
      <protection hidden="1"/>
    </xf>
    <xf numFmtId="166" fontId="21" fillId="0" borderId="26" xfId="0" applyFont="1" applyBorder="1"/>
    <xf numFmtId="166" fontId="1" fillId="0" borderId="0" xfId="0" applyFont="1" applyBorder="1" applyAlignment="1" applyProtection="1">
      <alignment horizontal="center"/>
      <protection hidden="1"/>
    </xf>
    <xf numFmtId="168" fontId="26" fillId="0" borderId="0" xfId="0" applyNumberFormat="1" applyFont="1" applyAlignment="1">
      <alignment horizontal="left"/>
    </xf>
    <xf numFmtId="166" fontId="26" fillId="0" borderId="0" xfId="0" applyFont="1" applyAlignment="1">
      <alignment horizontal="left"/>
    </xf>
    <xf numFmtId="1" fontId="26" fillId="0" borderId="0" xfId="0" applyNumberFormat="1" applyFont="1" applyAlignment="1">
      <alignment horizontal="left"/>
    </xf>
    <xf numFmtId="164" fontId="26" fillId="0" borderId="0" xfId="0" applyNumberFormat="1" applyFont="1" applyAlignment="1">
      <alignment horizontal="left"/>
    </xf>
    <xf numFmtId="164" fontId="26" fillId="0" borderId="0" xfId="0" applyNumberFormat="1" applyFont="1" applyProtection="1">
      <protection hidden="1"/>
    </xf>
    <xf numFmtId="166" fontId="23" fillId="28" borderId="0" xfId="0" applyFont="1" applyFill="1" applyProtection="1">
      <protection locked="0"/>
    </xf>
    <xf numFmtId="166" fontId="23" fillId="28" borderId="55" xfId="0" applyFont="1" applyFill="1" applyBorder="1" applyProtection="1">
      <protection hidden="1"/>
    </xf>
    <xf numFmtId="166" fontId="23" fillId="28" borderId="56" xfId="0" applyFont="1" applyFill="1" applyBorder="1" applyProtection="1">
      <protection hidden="1"/>
    </xf>
    <xf numFmtId="166" fontId="23" fillId="28" borderId="15" xfId="0" applyFont="1" applyFill="1" applyBorder="1" applyProtection="1">
      <protection hidden="1"/>
    </xf>
    <xf numFmtId="166" fontId="88" fillId="0" borderId="0" xfId="0" applyFont="1" applyProtection="1">
      <protection hidden="1"/>
    </xf>
    <xf numFmtId="166" fontId="1" fillId="0" borderId="55" xfId="0" applyFont="1" applyBorder="1" applyProtection="1">
      <protection hidden="1"/>
    </xf>
    <xf numFmtId="166" fontId="1" fillId="0" borderId="56" xfId="0" applyFont="1" applyBorder="1" applyProtection="1">
      <protection hidden="1"/>
    </xf>
    <xf numFmtId="166" fontId="1" fillId="0" borderId="15" xfId="0" applyFont="1" applyBorder="1" applyProtection="1">
      <protection hidden="1"/>
    </xf>
    <xf numFmtId="166" fontId="1" fillId="0" borderId="56" xfId="0" applyFont="1" applyFill="1" applyBorder="1" applyProtection="1">
      <protection hidden="1"/>
    </xf>
    <xf numFmtId="1" fontId="0" fillId="39" borderId="14" xfId="0" applyNumberFormat="1" applyFill="1" applyBorder="1" applyAlignment="1" applyProtection="1">
      <alignment horizontal="left"/>
      <protection hidden="1"/>
    </xf>
    <xf numFmtId="49" fontId="0" fillId="39" borderId="14" xfId="0" applyNumberFormat="1" applyFill="1" applyBorder="1" applyAlignment="1" applyProtection="1">
      <alignment horizontal="left"/>
      <protection hidden="1"/>
    </xf>
    <xf numFmtId="49" fontId="1" fillId="39" borderId="14" xfId="0" applyNumberFormat="1" applyFont="1" applyFill="1" applyBorder="1" applyAlignment="1" applyProtection="1">
      <alignment horizontal="left"/>
      <protection hidden="1"/>
    </xf>
    <xf numFmtId="166" fontId="0" fillId="39" borderId="13" xfId="0" applyFill="1" applyBorder="1" applyAlignment="1" applyProtection="1">
      <alignment horizontal="left"/>
      <protection hidden="1"/>
    </xf>
    <xf numFmtId="16" fontId="0" fillId="39" borderId="14" xfId="0" applyNumberFormat="1" applyFill="1" applyBorder="1" applyAlignment="1" applyProtection="1">
      <alignment horizontal="left"/>
      <protection hidden="1"/>
    </xf>
    <xf numFmtId="14" fontId="0" fillId="0" borderId="0" xfId="0" applyNumberFormat="1" applyProtection="1">
      <protection hidden="1"/>
    </xf>
    <xf numFmtId="166" fontId="43" fillId="30" borderId="0" xfId="0" quotePrefix="1" applyFont="1" applyFill="1" applyAlignment="1" applyProtection="1">
      <alignment horizontal="left"/>
      <protection hidden="1"/>
    </xf>
    <xf numFmtId="166" fontId="44" fillId="30" borderId="0" xfId="0" applyFont="1" applyFill="1" applyAlignment="1" applyProtection="1">
      <alignment horizontal="center" vertical="center"/>
      <protection hidden="1"/>
    </xf>
    <xf numFmtId="166" fontId="82" fillId="48" borderId="14" xfId="0" applyFont="1" applyFill="1" applyBorder="1" applyAlignment="1" applyProtection="1">
      <alignment horizontal="center"/>
      <protection hidden="1"/>
    </xf>
    <xf numFmtId="166" fontId="1" fillId="0" borderId="29" xfId="0" applyFont="1" applyBorder="1" applyProtection="1">
      <protection hidden="1"/>
    </xf>
    <xf numFmtId="166" fontId="21" fillId="0" borderId="20" xfId="0" applyFont="1" applyBorder="1"/>
    <xf numFmtId="166" fontId="21" fillId="0" borderId="30" xfId="0" applyFont="1" applyBorder="1"/>
    <xf numFmtId="49" fontId="1" fillId="39" borderId="13" xfId="0" applyNumberFormat="1" applyFont="1" applyFill="1" applyBorder="1" applyAlignment="1" applyProtection="1">
      <alignment horizontal="left"/>
      <protection hidden="1"/>
    </xf>
    <xf numFmtId="166" fontId="1" fillId="37" borderId="14" xfId="0" applyFont="1" applyFill="1" applyBorder="1" applyProtection="1">
      <protection hidden="1"/>
    </xf>
    <xf numFmtId="166" fontId="23" fillId="28" borderId="0" xfId="0" applyFont="1" applyFill="1" applyProtection="1">
      <protection hidden="1"/>
    </xf>
    <xf numFmtId="166" fontId="0" fillId="39" borderId="14" xfId="0" applyFill="1" applyBorder="1" applyAlignment="1" applyProtection="1">
      <alignment horizontal="left"/>
      <protection locked="0"/>
    </xf>
    <xf numFmtId="166" fontId="89" fillId="35" borderId="0" xfId="0" applyFont="1" applyFill="1" applyBorder="1" applyProtection="1">
      <protection hidden="1"/>
    </xf>
    <xf numFmtId="166" fontId="87" fillId="35" borderId="0" xfId="0" quotePrefix="1" applyFont="1" applyFill="1" applyBorder="1" applyProtection="1">
      <protection hidden="1"/>
    </xf>
    <xf numFmtId="166" fontId="87" fillId="30" borderId="0" xfId="0" applyFont="1" applyFill="1" applyBorder="1" applyProtection="1">
      <protection hidden="1"/>
    </xf>
    <xf numFmtId="166" fontId="87" fillId="35" borderId="0" xfId="0" applyFont="1" applyFill="1" applyProtection="1">
      <protection hidden="1"/>
    </xf>
    <xf numFmtId="166" fontId="90" fillId="35" borderId="0" xfId="0" applyFont="1" applyFill="1" applyProtection="1">
      <protection hidden="1"/>
    </xf>
    <xf numFmtId="166" fontId="43" fillId="34" borderId="14" xfId="0" applyFont="1" applyFill="1" applyBorder="1" applyProtection="1">
      <protection hidden="1"/>
    </xf>
    <xf numFmtId="166" fontId="43" fillId="0" borderId="0" xfId="0" applyFont="1" applyBorder="1" applyAlignment="1" applyProtection="1">
      <protection hidden="1"/>
    </xf>
    <xf numFmtId="166" fontId="64" fillId="37" borderId="0" xfId="0" applyFont="1" applyFill="1" applyProtection="1">
      <protection locked="0"/>
    </xf>
    <xf numFmtId="166" fontId="24" fillId="0" borderId="0" xfId="0" applyFont="1" applyProtection="1">
      <protection locked="0"/>
    </xf>
    <xf numFmtId="166" fontId="1" fillId="40" borderId="0" xfId="0" applyFont="1" applyFill="1" applyBorder="1" applyAlignment="1" applyProtection="1">
      <alignment horizontal="left"/>
      <protection hidden="1"/>
    </xf>
    <xf numFmtId="166" fontId="1" fillId="38" borderId="0" xfId="0" applyFont="1" applyFill="1" applyBorder="1" applyAlignment="1" applyProtection="1">
      <alignment horizontal="left"/>
      <protection hidden="1"/>
    </xf>
    <xf numFmtId="166" fontId="43" fillId="30" borderId="12" xfId="0" applyFont="1" applyFill="1" applyBorder="1" applyAlignment="1" applyProtection="1">
      <alignment vertical="center"/>
      <protection hidden="1"/>
    </xf>
    <xf numFmtId="166" fontId="46" fillId="30" borderId="12" xfId="0" applyFont="1" applyFill="1" applyBorder="1" applyAlignment="1" applyProtection="1">
      <alignment horizontal="right" vertical="center"/>
      <protection hidden="1"/>
    </xf>
    <xf numFmtId="166" fontId="21" fillId="0" borderId="22" xfId="0" applyFont="1" applyBorder="1" applyProtection="1">
      <protection hidden="1"/>
    </xf>
    <xf numFmtId="166" fontId="41" fillId="50" borderId="0" xfId="0" applyFont="1" applyFill="1" applyProtection="1">
      <protection hidden="1"/>
    </xf>
    <xf numFmtId="166" fontId="91" fillId="0" borderId="0" xfId="0" applyFont="1" applyProtection="1">
      <protection hidden="1"/>
    </xf>
    <xf numFmtId="166" fontId="91" fillId="0" borderId="0" xfId="0" applyFont="1" applyAlignment="1" applyProtection="1">
      <alignment horizontal="left"/>
      <protection hidden="1"/>
    </xf>
    <xf numFmtId="166" fontId="26" fillId="0" borderId="29" xfId="0" applyFont="1" applyBorder="1"/>
    <xf numFmtId="167" fontId="28" fillId="0" borderId="20" xfId="0" applyNumberFormat="1" applyFont="1" applyBorder="1" applyAlignment="1">
      <alignment horizontal="left"/>
    </xf>
    <xf numFmtId="167" fontId="28" fillId="0" borderId="30" xfId="0" applyNumberFormat="1" applyFont="1" applyBorder="1" applyAlignment="1">
      <alignment horizontal="left"/>
    </xf>
    <xf numFmtId="166" fontId="26" fillId="0" borderId="24" xfId="0" applyFont="1" applyBorder="1"/>
    <xf numFmtId="168" fontId="26" fillId="0" borderId="0" xfId="0" applyNumberFormat="1" applyFont="1" applyBorder="1" applyAlignment="1">
      <alignment horizontal="left"/>
    </xf>
    <xf numFmtId="168" fontId="26" fillId="0" borderId="26" xfId="0" applyNumberFormat="1" applyFont="1" applyBorder="1" applyAlignment="1">
      <alignment horizontal="left"/>
    </xf>
    <xf numFmtId="166" fontId="26" fillId="0" borderId="0" xfId="0" applyFont="1" applyBorder="1" applyAlignment="1">
      <alignment horizontal="left"/>
    </xf>
    <xf numFmtId="166" fontId="26" fillId="0" borderId="26" xfId="0" applyFont="1" applyBorder="1" applyAlignment="1">
      <alignment horizontal="left"/>
    </xf>
    <xf numFmtId="1" fontId="26" fillId="0" borderId="0" xfId="0" applyNumberFormat="1" applyFont="1" applyBorder="1" applyAlignment="1">
      <alignment horizontal="left"/>
    </xf>
    <xf numFmtId="1" fontId="26" fillId="0" borderId="26" xfId="0" applyNumberFormat="1" applyFont="1" applyBorder="1" applyAlignment="1">
      <alignment horizontal="left"/>
    </xf>
    <xf numFmtId="164" fontId="26" fillId="0" borderId="0" xfId="0" applyNumberFormat="1" applyFont="1" applyBorder="1" applyAlignment="1">
      <alignment horizontal="left"/>
    </xf>
    <xf numFmtId="164" fontId="26" fillId="0" borderId="26" xfId="0" applyNumberFormat="1" applyFont="1" applyBorder="1" applyAlignment="1">
      <alignment horizontal="left"/>
    </xf>
    <xf numFmtId="166" fontId="26" fillId="0" borderId="26" xfId="0" applyFont="1" applyBorder="1" applyAlignment="1" applyProtection="1">
      <alignment horizontal="left"/>
      <protection hidden="1"/>
    </xf>
    <xf numFmtId="166" fontId="26" fillId="34" borderId="24" xfId="0" applyFont="1" applyFill="1" applyBorder="1" applyProtection="1">
      <protection hidden="1"/>
    </xf>
    <xf numFmtId="166" fontId="26" fillId="34" borderId="0" xfId="0" applyFont="1" applyFill="1" applyBorder="1" applyAlignment="1" applyProtection="1">
      <alignment horizontal="left"/>
      <protection hidden="1"/>
    </xf>
    <xf numFmtId="166" fontId="26" fillId="34" borderId="26" xfId="0" applyFont="1" applyFill="1" applyBorder="1" applyAlignment="1" applyProtection="1">
      <alignment horizontal="left"/>
      <protection hidden="1"/>
    </xf>
    <xf numFmtId="166" fontId="26" fillId="45" borderId="0" xfId="0" applyFont="1" applyFill="1" applyBorder="1" applyAlignment="1" applyProtection="1">
      <alignment horizontal="left"/>
      <protection hidden="1"/>
    </xf>
    <xf numFmtId="166" fontId="26" fillId="45" borderId="26" xfId="0" applyFont="1" applyFill="1" applyBorder="1" applyAlignment="1" applyProtection="1">
      <alignment horizontal="left"/>
      <protection hidden="1"/>
    </xf>
    <xf numFmtId="166" fontId="26" fillId="34" borderId="0" xfId="0" applyFont="1" applyFill="1" applyBorder="1" applyAlignment="1">
      <alignment horizontal="left"/>
    </xf>
    <xf numFmtId="166" fontId="26" fillId="34" borderId="26" xfId="0" applyFont="1" applyFill="1" applyBorder="1" applyAlignment="1">
      <alignment horizontal="left"/>
    </xf>
    <xf numFmtId="164" fontId="26" fillId="0" borderId="0" xfId="0" applyNumberFormat="1" applyFont="1" applyBorder="1" applyAlignment="1" applyProtection="1">
      <alignment horizontal="left"/>
      <protection hidden="1"/>
    </xf>
    <xf numFmtId="164" fontId="26" fillId="0" borderId="26" xfId="0" applyNumberFormat="1" applyFont="1" applyBorder="1" applyAlignment="1" applyProtection="1">
      <alignment horizontal="left"/>
      <protection hidden="1"/>
    </xf>
    <xf numFmtId="166" fontId="26" fillId="0" borderId="22" xfId="0" applyFont="1" applyBorder="1"/>
    <xf numFmtId="166" fontId="26" fillId="0" borderId="11" xfId="0" applyFont="1" applyBorder="1" applyAlignment="1">
      <alignment horizontal="left"/>
    </xf>
    <xf numFmtId="166" fontId="26" fillId="0" borderId="28" xfId="0" applyFont="1" applyBorder="1" applyAlignment="1">
      <alignment horizontal="left"/>
    </xf>
    <xf numFmtId="166" fontId="24" fillId="34" borderId="14" xfId="0" applyFont="1" applyFill="1" applyBorder="1" applyProtection="1">
      <protection locked="0"/>
    </xf>
    <xf numFmtId="166" fontId="26" fillId="0" borderId="0" xfId="0" applyFont="1" applyProtection="1">
      <protection locked="0"/>
    </xf>
    <xf numFmtId="167" fontId="0" fillId="39" borderId="14" xfId="0" applyNumberFormat="1" applyFill="1" applyBorder="1" applyAlignment="1" applyProtection="1">
      <alignment horizontal="left"/>
      <protection hidden="1"/>
    </xf>
    <xf numFmtId="167" fontId="1" fillId="39" borderId="13" xfId="0" applyNumberFormat="1" applyFont="1" applyFill="1" applyBorder="1" applyAlignment="1" applyProtection="1">
      <alignment horizontal="left"/>
      <protection hidden="1"/>
    </xf>
    <xf numFmtId="1" fontId="1" fillId="39" borderId="13" xfId="0" applyNumberFormat="1" applyFont="1" applyFill="1" applyBorder="1" applyAlignment="1" applyProtection="1">
      <alignment horizontal="left"/>
      <protection hidden="1"/>
    </xf>
    <xf numFmtId="166" fontId="24" fillId="0" borderId="0" xfId="0" applyFont="1" applyAlignment="1" applyProtection="1">
      <alignment horizontal="left"/>
      <protection hidden="1"/>
    </xf>
    <xf numFmtId="166" fontId="48" fillId="30" borderId="12" xfId="0" applyFont="1" applyFill="1" applyBorder="1" applyAlignment="1" applyProtection="1">
      <alignment vertical="center"/>
      <protection hidden="1"/>
    </xf>
    <xf numFmtId="166" fontId="24" fillId="35" borderId="49" xfId="0" applyFont="1" applyFill="1" applyBorder="1" applyProtection="1">
      <protection hidden="1"/>
    </xf>
    <xf numFmtId="166" fontId="24" fillId="35" borderId="35" xfId="0" applyFont="1" applyFill="1" applyBorder="1" applyProtection="1">
      <protection hidden="1"/>
    </xf>
    <xf numFmtId="166" fontId="24" fillId="35" borderId="50" xfId="0" applyFont="1" applyFill="1" applyBorder="1" applyProtection="1">
      <protection hidden="1"/>
    </xf>
    <xf numFmtId="166" fontId="24" fillId="35" borderId="12" xfId="0" applyFont="1" applyFill="1" applyBorder="1" applyProtection="1">
      <protection hidden="1"/>
    </xf>
    <xf numFmtId="166" fontId="24" fillId="35" borderId="51" xfId="0" applyFont="1" applyFill="1" applyBorder="1" applyProtection="1">
      <protection hidden="1"/>
    </xf>
    <xf numFmtId="166" fontId="24" fillId="35" borderId="52" xfId="0" applyFont="1" applyFill="1" applyBorder="1" applyProtection="1">
      <protection hidden="1"/>
    </xf>
    <xf numFmtId="166" fontId="24" fillId="35" borderId="53" xfId="0" applyFont="1" applyFill="1" applyBorder="1" applyProtection="1">
      <protection hidden="1"/>
    </xf>
    <xf numFmtId="166" fontId="24" fillId="35" borderId="11" xfId="0" applyFont="1" applyFill="1" applyBorder="1" applyProtection="1">
      <protection hidden="1"/>
    </xf>
    <xf numFmtId="166" fontId="24" fillId="35" borderId="54" xfId="0" applyFont="1" applyFill="1" applyBorder="1" applyProtection="1">
      <protection hidden="1"/>
    </xf>
    <xf numFmtId="166" fontId="24" fillId="35" borderId="22" xfId="0" applyFont="1" applyFill="1" applyBorder="1" applyProtection="1">
      <protection hidden="1"/>
    </xf>
    <xf numFmtId="166" fontId="24" fillId="35" borderId="28" xfId="0" applyFont="1" applyFill="1" applyBorder="1" applyProtection="1">
      <protection hidden="1"/>
    </xf>
    <xf numFmtId="166" fontId="24" fillId="35" borderId="32" xfId="0" applyFont="1" applyFill="1" applyBorder="1" applyProtection="1">
      <protection hidden="1"/>
    </xf>
    <xf numFmtId="166" fontId="24" fillId="35" borderId="33" xfId="0" applyFont="1" applyFill="1" applyBorder="1" applyProtection="1">
      <protection hidden="1"/>
    </xf>
    <xf numFmtId="166" fontId="92" fillId="0" borderId="20" xfId="0" applyFont="1" applyBorder="1" applyProtection="1">
      <protection hidden="1"/>
    </xf>
    <xf numFmtId="166" fontId="74" fillId="30" borderId="0" xfId="0" applyFont="1" applyFill="1" applyBorder="1" applyProtection="1">
      <protection hidden="1"/>
    </xf>
    <xf numFmtId="166" fontId="66" fillId="35" borderId="0" xfId="0" applyFont="1" applyFill="1" applyBorder="1" applyAlignment="1" applyProtection="1">
      <alignment horizontal="right"/>
      <protection hidden="1"/>
    </xf>
    <xf numFmtId="166" fontId="21" fillId="0" borderId="33" xfId="0" applyFont="1" applyBorder="1" applyProtection="1">
      <protection hidden="1"/>
    </xf>
    <xf numFmtId="166" fontId="21" fillId="36" borderId="28" xfId="0" applyFont="1" applyFill="1" applyBorder="1" applyProtection="1">
      <protection hidden="1"/>
    </xf>
    <xf numFmtId="166" fontId="21" fillId="35" borderId="20" xfId="0" applyFont="1" applyFill="1" applyBorder="1" applyAlignment="1" applyProtection="1">
      <alignment wrapText="1"/>
      <protection hidden="1"/>
    </xf>
    <xf numFmtId="166" fontId="79" fillId="0" borderId="11" xfId="0" applyFont="1" applyBorder="1" applyProtection="1">
      <protection hidden="1"/>
    </xf>
    <xf numFmtId="166" fontId="24" fillId="0" borderId="11" xfId="0" applyFont="1" applyBorder="1"/>
    <xf numFmtId="166" fontId="28" fillId="0" borderId="11" xfId="0" applyFont="1" applyBorder="1" applyAlignment="1" applyProtection="1">
      <alignment horizontal="left"/>
      <protection hidden="1"/>
    </xf>
    <xf numFmtId="166" fontId="24" fillId="0" borderId="11" xfId="0" applyFont="1" applyBorder="1" applyProtection="1">
      <protection hidden="1"/>
    </xf>
    <xf numFmtId="166" fontId="69" fillId="35" borderId="0" xfId="0" applyFont="1" applyFill="1" applyBorder="1" applyAlignment="1" applyProtection="1">
      <alignment horizontal="left" vertical="top" wrapText="1"/>
      <protection hidden="1"/>
    </xf>
    <xf numFmtId="166" fontId="49" fillId="35" borderId="0" xfId="0" applyFont="1" applyFill="1" applyBorder="1" applyAlignment="1" applyProtection="1">
      <alignment horizontal="right"/>
      <protection hidden="1"/>
    </xf>
    <xf numFmtId="166" fontId="46" fillId="35" borderId="0" xfId="0" applyFont="1" applyFill="1" applyBorder="1" applyAlignment="1" applyProtection="1">
      <alignment horizontal="right"/>
      <protection hidden="1"/>
    </xf>
    <xf numFmtId="166" fontId="21" fillId="35" borderId="26" xfId="0" applyFont="1" applyFill="1" applyBorder="1" applyProtection="1">
      <protection hidden="1"/>
    </xf>
    <xf numFmtId="166" fontId="24" fillId="35" borderId="0" xfId="0" applyFont="1" applyFill="1"/>
    <xf numFmtId="166" fontId="24" fillId="35" borderId="26" xfId="0" applyFont="1" applyFill="1" applyBorder="1" applyProtection="1">
      <protection hidden="1"/>
    </xf>
    <xf numFmtId="166" fontId="52" fillId="30" borderId="0" xfId="0" applyFont="1" applyFill="1" applyBorder="1" applyAlignment="1" applyProtection="1">
      <protection hidden="1"/>
    </xf>
    <xf numFmtId="166" fontId="20" fillId="30" borderId="20" xfId="0" applyFont="1" applyFill="1" applyBorder="1" applyAlignment="1" applyProtection="1">
      <protection hidden="1"/>
    </xf>
    <xf numFmtId="166" fontId="20" fillId="30" borderId="20" xfId="0" applyFont="1" applyFill="1" applyBorder="1" applyAlignment="1" applyProtection="1">
      <alignment horizontal="center"/>
      <protection hidden="1"/>
    </xf>
    <xf numFmtId="166" fontId="21" fillId="30" borderId="37" xfId="0" applyFont="1" applyFill="1" applyBorder="1" applyAlignment="1" applyProtection="1">
      <protection hidden="1"/>
    </xf>
    <xf numFmtId="166" fontId="50" fillId="30" borderId="0" xfId="0" applyFont="1" applyFill="1" applyBorder="1" applyAlignment="1" applyProtection="1">
      <alignment vertical="top"/>
      <protection hidden="1"/>
    </xf>
    <xf numFmtId="166" fontId="94" fillId="30" borderId="0" xfId="0" applyFont="1" applyFill="1" applyBorder="1" applyProtection="1">
      <protection hidden="1"/>
    </xf>
    <xf numFmtId="166" fontId="82" fillId="0" borderId="0" xfId="0" applyFont="1" applyProtection="1">
      <protection hidden="1"/>
    </xf>
    <xf numFmtId="166" fontId="21" fillId="35" borderId="0" xfId="0" applyFont="1" applyFill="1"/>
    <xf numFmtId="166" fontId="26" fillId="35" borderId="30" xfId="0" applyFont="1" applyFill="1" applyBorder="1" applyProtection="1">
      <protection hidden="1"/>
    </xf>
    <xf numFmtId="166" fontId="26" fillId="35" borderId="11" xfId="0" applyFont="1" applyFill="1" applyBorder="1" applyAlignment="1" applyProtection="1">
      <alignment horizontal="right"/>
      <protection hidden="1"/>
    </xf>
    <xf numFmtId="166" fontId="21" fillId="0" borderId="11" xfId="0" applyFont="1" applyBorder="1" applyProtection="1">
      <protection hidden="1"/>
    </xf>
    <xf numFmtId="166" fontId="26" fillId="35" borderId="11" xfId="0" quotePrefix="1" applyFont="1" applyFill="1" applyBorder="1" applyAlignment="1" applyProtection="1">
      <protection hidden="1"/>
    </xf>
    <xf numFmtId="166" fontId="21" fillId="0" borderId="24" xfId="0" applyFont="1" applyBorder="1"/>
    <xf numFmtId="166" fontId="85" fillId="35" borderId="0" xfId="0" applyFont="1" applyFill="1" applyProtection="1">
      <protection hidden="1"/>
    </xf>
    <xf numFmtId="166" fontId="69" fillId="35" borderId="0" xfId="0" applyFont="1" applyFill="1" applyBorder="1" applyAlignment="1" applyProtection="1">
      <alignment horizontal="left"/>
      <protection hidden="1"/>
    </xf>
    <xf numFmtId="166" fontId="69" fillId="34" borderId="14" xfId="0" applyFont="1" applyFill="1" applyBorder="1" applyAlignment="1" applyProtection="1">
      <alignment horizontal="left"/>
      <protection locked="0"/>
    </xf>
    <xf numFmtId="166" fontId="20" fillId="0" borderId="20" xfId="0" applyFont="1" applyBorder="1"/>
    <xf numFmtId="166" fontId="0" fillId="34" borderId="14" xfId="0" applyFill="1" applyBorder="1" applyProtection="1">
      <protection locked="0"/>
    </xf>
    <xf numFmtId="166" fontId="28" fillId="0" borderId="24" xfId="0" applyFont="1" applyBorder="1" applyProtection="1">
      <protection hidden="1"/>
    </xf>
    <xf numFmtId="166" fontId="28" fillId="35" borderId="20" xfId="0" applyFont="1" applyFill="1" applyBorder="1" applyProtection="1">
      <protection hidden="1"/>
    </xf>
    <xf numFmtId="166" fontId="21" fillId="35" borderId="28" xfId="0" applyFont="1" applyFill="1" applyBorder="1" applyAlignment="1" applyProtection="1">
      <alignment horizontal="right"/>
      <protection hidden="1"/>
    </xf>
    <xf numFmtId="166" fontId="21" fillId="30" borderId="0" xfId="0" applyFont="1" applyFill="1" applyBorder="1" applyAlignment="1" applyProtection="1">
      <protection hidden="1"/>
    </xf>
    <xf numFmtId="166" fontId="21" fillId="35" borderId="26" xfId="0" applyFont="1" applyFill="1" applyBorder="1" applyAlignment="1" applyProtection="1">
      <alignment horizontal="right"/>
      <protection hidden="1"/>
    </xf>
    <xf numFmtId="166" fontId="1" fillId="35" borderId="26" xfId="0" applyFont="1" applyFill="1" applyBorder="1" applyAlignment="1" applyProtection="1">
      <alignment horizontal="right"/>
      <protection hidden="1"/>
    </xf>
    <xf numFmtId="166" fontId="70" fillId="0" borderId="0" xfId="0" applyFont="1" applyProtection="1">
      <protection hidden="1"/>
    </xf>
    <xf numFmtId="166" fontId="28" fillId="35" borderId="0" xfId="0" applyFont="1" applyFill="1" applyBorder="1" applyAlignment="1" applyProtection="1">
      <alignment horizontal="right"/>
      <protection hidden="1"/>
    </xf>
    <xf numFmtId="166" fontId="21" fillId="35" borderId="28" xfId="0" applyFont="1" applyFill="1" applyBorder="1" applyProtection="1">
      <protection hidden="1"/>
    </xf>
    <xf numFmtId="166" fontId="26" fillId="35" borderId="26" xfId="0" applyFont="1" applyFill="1" applyBorder="1" applyProtection="1">
      <protection hidden="1"/>
    </xf>
    <xf numFmtId="166" fontId="21" fillId="35" borderId="30" xfId="0" applyFont="1" applyFill="1" applyBorder="1" applyProtection="1">
      <protection hidden="1"/>
    </xf>
    <xf numFmtId="166" fontId="28" fillId="35" borderId="0" xfId="0" applyFont="1" applyFill="1" applyProtection="1">
      <protection hidden="1"/>
    </xf>
    <xf numFmtId="166" fontId="43" fillId="30" borderId="0" xfId="0" applyFont="1" applyFill="1" applyProtection="1">
      <protection locked="0"/>
    </xf>
    <xf numFmtId="166" fontId="43" fillId="0" borderId="31" xfId="0" applyFont="1" applyBorder="1" applyProtection="1">
      <protection hidden="1"/>
    </xf>
    <xf numFmtId="166" fontId="23" fillId="30" borderId="0" xfId="0" applyFont="1" applyFill="1" applyBorder="1" applyAlignment="1" applyProtection="1">
      <alignment horizontal="right"/>
      <protection hidden="1"/>
    </xf>
    <xf numFmtId="166" fontId="69" fillId="30" borderId="20" xfId="0" applyFont="1" applyFill="1" applyBorder="1" applyAlignment="1" applyProtection="1">
      <alignment horizontal="right"/>
      <protection hidden="1"/>
    </xf>
    <xf numFmtId="166" fontId="46" fillId="30" borderId="20" xfId="0" applyFont="1" applyFill="1" applyBorder="1" applyProtection="1">
      <protection hidden="1"/>
    </xf>
    <xf numFmtId="166" fontId="49" fillId="30" borderId="20" xfId="0" applyFont="1" applyFill="1" applyBorder="1" applyProtection="1">
      <protection hidden="1"/>
    </xf>
    <xf numFmtId="49" fontId="46" fillId="30" borderId="20" xfId="0" applyNumberFormat="1" applyFont="1" applyFill="1" applyBorder="1" applyAlignment="1" applyProtection="1">
      <alignment horizontal="left"/>
      <protection hidden="1"/>
    </xf>
    <xf numFmtId="49" fontId="62" fillId="30" borderId="20" xfId="0" applyNumberFormat="1" applyFont="1" applyFill="1" applyBorder="1" applyAlignment="1" applyProtection="1">
      <alignment horizontal="left"/>
      <protection hidden="1"/>
    </xf>
    <xf numFmtId="49" fontId="62" fillId="30" borderId="20" xfId="0" applyNumberFormat="1" applyFont="1" applyFill="1" applyBorder="1" applyAlignment="1" applyProtection="1">
      <alignment horizontal="right"/>
      <protection hidden="1"/>
    </xf>
    <xf numFmtId="166" fontId="46" fillId="0" borderId="20" xfId="0" applyFont="1" applyBorder="1" applyProtection="1">
      <protection hidden="1"/>
    </xf>
    <xf numFmtId="166" fontId="43" fillId="30" borderId="20" xfId="0" applyNumberFormat="1" applyFont="1" applyFill="1" applyBorder="1" applyAlignment="1" applyProtection="1">
      <alignment vertical="top"/>
      <protection hidden="1"/>
    </xf>
    <xf numFmtId="166" fontId="43" fillId="30" borderId="30" xfId="0" applyNumberFormat="1" applyFont="1" applyFill="1" applyBorder="1" applyAlignment="1" applyProtection="1">
      <alignment vertical="top"/>
      <protection hidden="1"/>
    </xf>
    <xf numFmtId="166" fontId="43" fillId="35" borderId="20" xfId="0" applyNumberFormat="1" applyFont="1" applyFill="1" applyBorder="1" applyAlignment="1" applyProtection="1">
      <alignment horizontal="right" vertical="top"/>
      <protection hidden="1"/>
    </xf>
    <xf numFmtId="166" fontId="43" fillId="35" borderId="0" xfId="0" applyNumberFormat="1" applyFont="1" applyFill="1" applyBorder="1" applyAlignment="1" applyProtection="1">
      <alignment horizontal="right" vertical="top"/>
      <protection hidden="1"/>
    </xf>
    <xf numFmtId="166" fontId="26" fillId="35" borderId="20" xfId="0" applyFont="1" applyFill="1" applyBorder="1" applyAlignment="1" applyProtection="1">
      <alignment horizontal="right"/>
      <protection hidden="1"/>
    </xf>
    <xf numFmtId="166" fontId="72" fillId="0" borderId="0" xfId="0" applyFont="1"/>
    <xf numFmtId="166" fontId="1" fillId="0" borderId="0" xfId="0" applyFont="1" applyAlignment="1">
      <alignment horizontal="center"/>
    </xf>
    <xf numFmtId="166" fontId="32" fillId="0" borderId="0" xfId="0" applyFont="1"/>
    <xf numFmtId="166" fontId="1" fillId="0" borderId="0" xfId="0" applyFont="1" applyAlignment="1">
      <alignment vertical="top" wrapText="1"/>
    </xf>
    <xf numFmtId="166" fontId="1" fillId="0" borderId="0" xfId="0" applyFont="1" applyAlignment="1">
      <alignment horizontal="right"/>
    </xf>
    <xf numFmtId="16" fontId="0" fillId="0" borderId="0" xfId="0" applyNumberFormat="1"/>
    <xf numFmtId="166" fontId="1" fillId="36" borderId="45" xfId="0" applyFont="1" applyFill="1" applyBorder="1"/>
    <xf numFmtId="166" fontId="23" fillId="36" borderId="55" xfId="0" applyFont="1" applyFill="1" applyBorder="1"/>
    <xf numFmtId="166" fontId="23" fillId="36" borderId="45" xfId="0" applyFont="1" applyFill="1" applyBorder="1"/>
    <xf numFmtId="166" fontId="23" fillId="36" borderId="65" xfId="0" applyFont="1" applyFill="1" applyBorder="1"/>
    <xf numFmtId="166" fontId="0" fillId="36" borderId="66" xfId="0" applyFill="1" applyBorder="1"/>
    <xf numFmtId="166" fontId="0" fillId="36" borderId="46" xfId="0" applyFill="1" applyBorder="1"/>
    <xf numFmtId="166" fontId="1" fillId="36" borderId="15" xfId="0" applyFont="1" applyFill="1" applyBorder="1"/>
    <xf numFmtId="166" fontId="1" fillId="36" borderId="63" xfId="0" applyFont="1" applyFill="1" applyBorder="1"/>
    <xf numFmtId="166" fontId="0" fillId="36" borderId="15" xfId="0" applyFill="1" applyBorder="1"/>
    <xf numFmtId="166" fontId="1" fillId="36" borderId="30" xfId="0" applyFont="1" applyFill="1" applyBorder="1"/>
    <xf numFmtId="166" fontId="0" fillId="0" borderId="67" xfId="0" applyBorder="1" applyAlignment="1">
      <alignment vertical="center"/>
    </xf>
    <xf numFmtId="14" fontId="0" fillId="0" borderId="10" xfId="0" applyNumberFormat="1" applyBorder="1" applyAlignment="1">
      <alignment vertical="center"/>
    </xf>
    <xf numFmtId="166" fontId="0" fillId="0" borderId="41" xfId="0" applyBorder="1" applyAlignment="1">
      <alignment horizontal="left" vertical="top" wrapText="1"/>
    </xf>
    <xf numFmtId="166" fontId="0" fillId="0" borderId="67" xfId="0" applyBorder="1" applyAlignment="1">
      <alignment horizontal="left" vertical="top" wrapText="1"/>
    </xf>
    <xf numFmtId="16" fontId="0" fillId="0" borderId="10" xfId="0" applyNumberFormat="1" applyBorder="1" applyAlignment="1">
      <alignment vertical="center"/>
    </xf>
    <xf numFmtId="166" fontId="1" fillId="0" borderId="41" xfId="0" applyFont="1" applyBorder="1" applyAlignment="1">
      <alignment vertical="center"/>
    </xf>
    <xf numFmtId="166" fontId="1" fillId="0" borderId="14" xfId="0" applyFont="1" applyBorder="1" applyAlignment="1" applyProtection="1">
      <alignment vertical="top" wrapText="1"/>
      <protection locked="0"/>
    </xf>
    <xf numFmtId="166" fontId="0" fillId="0" borderId="10" xfId="0" applyBorder="1" applyAlignment="1">
      <alignment horizontal="left" vertical="top" wrapText="1"/>
    </xf>
    <xf numFmtId="166" fontId="0" fillId="0" borderId="10" xfId="0" applyBorder="1" applyAlignment="1">
      <alignment vertical="center"/>
    </xf>
    <xf numFmtId="166" fontId="0" fillId="0" borderId="41" xfId="0" applyBorder="1" applyAlignment="1">
      <alignment vertical="center"/>
    </xf>
    <xf numFmtId="166" fontId="0" fillId="36" borderId="0" xfId="0" applyFill="1" applyBorder="1" applyProtection="1">
      <protection hidden="1"/>
    </xf>
    <xf numFmtId="166" fontId="0" fillId="36" borderId="14" xfId="0" applyFill="1" applyBorder="1" applyAlignment="1" applyProtection="1">
      <alignment horizontal="center"/>
      <protection locked="0"/>
    </xf>
    <xf numFmtId="166" fontId="0" fillId="26" borderId="0" xfId="0" applyFill="1" applyAlignment="1" applyProtection="1">
      <alignment horizontal="center"/>
      <protection hidden="1"/>
    </xf>
    <xf numFmtId="166" fontId="96" fillId="35" borderId="20" xfId="0" quotePrefix="1" applyFont="1" applyFill="1" applyBorder="1" applyProtection="1">
      <protection hidden="1"/>
    </xf>
    <xf numFmtId="166" fontId="55" fillId="35" borderId="0" xfId="0" applyFont="1" applyFill="1" applyAlignment="1" applyProtection="1">
      <protection hidden="1"/>
    </xf>
    <xf numFmtId="49" fontId="46" fillId="35" borderId="0" xfId="0" applyNumberFormat="1" applyFont="1" applyFill="1" applyAlignment="1" applyProtection="1">
      <alignment horizontal="left"/>
      <protection hidden="1"/>
    </xf>
    <xf numFmtId="49" fontId="46" fillId="35" borderId="0" xfId="0" applyNumberFormat="1" applyFont="1" applyFill="1" applyAlignment="1" applyProtection="1">
      <alignment horizontal="center"/>
      <protection hidden="1"/>
    </xf>
    <xf numFmtId="166" fontId="97" fillId="30" borderId="20" xfId="0" applyFont="1" applyFill="1" applyBorder="1" applyProtection="1">
      <protection hidden="1"/>
    </xf>
    <xf numFmtId="166" fontId="87" fillId="30" borderId="20" xfId="0" applyFont="1" applyFill="1" applyBorder="1" applyProtection="1">
      <protection hidden="1"/>
    </xf>
    <xf numFmtId="166" fontId="98" fillId="30" borderId="20" xfId="0" applyFont="1" applyFill="1" applyBorder="1" applyProtection="1">
      <protection hidden="1"/>
    </xf>
    <xf numFmtId="166" fontId="43" fillId="30" borderId="0" xfId="0" applyFont="1" applyFill="1" applyBorder="1" applyAlignment="1" applyProtection="1">
      <alignment vertical="top"/>
      <protection hidden="1"/>
    </xf>
    <xf numFmtId="166" fontId="87" fillId="30" borderId="11" xfId="0" applyFont="1" applyFill="1" applyBorder="1" applyProtection="1">
      <protection hidden="1"/>
    </xf>
    <xf numFmtId="166" fontId="43" fillId="30" borderId="11" xfId="0" applyFont="1" applyFill="1" applyBorder="1" applyAlignment="1" applyProtection="1">
      <alignment horizontal="right" vertical="top"/>
      <protection hidden="1"/>
    </xf>
    <xf numFmtId="166" fontId="100" fillId="35" borderId="29" xfId="0" applyFont="1" applyFill="1" applyBorder="1" applyAlignment="1" applyProtection="1">
      <protection hidden="1"/>
    </xf>
    <xf numFmtId="166" fontId="100" fillId="35" borderId="20" xfId="0" applyFont="1" applyFill="1" applyBorder="1" applyAlignment="1" applyProtection="1">
      <protection hidden="1"/>
    </xf>
    <xf numFmtId="166" fontId="23" fillId="35" borderId="30" xfId="0" applyFont="1" applyFill="1" applyBorder="1" applyProtection="1">
      <protection hidden="1"/>
    </xf>
    <xf numFmtId="166" fontId="23" fillId="35" borderId="20" xfId="0" applyFont="1" applyFill="1" applyBorder="1" applyAlignment="1" applyProtection="1">
      <alignment horizontal="center"/>
      <protection hidden="1"/>
    </xf>
    <xf numFmtId="0" fontId="46" fillId="35" borderId="24" xfId="0" applyNumberFormat="1" applyFont="1" applyFill="1" applyBorder="1" applyAlignment="1" applyProtection="1">
      <alignment horizontal="center"/>
      <protection hidden="1"/>
    </xf>
    <xf numFmtId="0" fontId="43" fillId="30" borderId="20" xfId="0" applyNumberFormat="1" applyFont="1" applyFill="1" applyBorder="1" applyProtection="1">
      <protection hidden="1"/>
    </xf>
    <xf numFmtId="0" fontId="43" fillId="30" borderId="20" xfId="0" quotePrefix="1" applyNumberFormat="1" applyFont="1" applyFill="1" applyBorder="1" applyProtection="1">
      <protection hidden="1"/>
    </xf>
    <xf numFmtId="0" fontId="43" fillId="30" borderId="11" xfId="0" applyNumberFormat="1" applyFont="1" applyFill="1" applyBorder="1" applyProtection="1">
      <protection hidden="1"/>
    </xf>
    <xf numFmtId="0" fontId="43" fillId="30" borderId="11" xfId="0" applyNumberFormat="1" applyFont="1" applyFill="1" applyBorder="1" applyAlignment="1" applyProtection="1">
      <alignment horizontal="right"/>
      <protection hidden="1"/>
    </xf>
    <xf numFmtId="0" fontId="24" fillId="35" borderId="24" xfId="0" applyNumberFormat="1" applyFont="1" applyFill="1" applyBorder="1" applyAlignment="1" applyProtection="1">
      <alignment horizontal="center"/>
      <protection hidden="1"/>
    </xf>
    <xf numFmtId="0" fontId="24" fillId="35" borderId="0" xfId="0" applyNumberFormat="1" applyFont="1" applyFill="1" applyBorder="1" applyAlignment="1" applyProtection="1">
      <alignment horizontal="left"/>
      <protection hidden="1"/>
    </xf>
    <xf numFmtId="166" fontId="73" fillId="35" borderId="0" xfId="0" applyFont="1" applyFill="1" applyBorder="1" applyProtection="1">
      <protection hidden="1"/>
    </xf>
    <xf numFmtId="0" fontId="0" fillId="0" borderId="0" xfId="0" applyNumberFormat="1" applyProtection="1">
      <protection locked="0" hidden="1"/>
    </xf>
    <xf numFmtId="0" fontId="26" fillId="0" borderId="0" xfId="0" applyNumberFormat="1" applyFont="1" applyProtection="1">
      <protection locked="0" hidden="1"/>
    </xf>
    <xf numFmtId="0" fontId="1" fillId="0" borderId="0" xfId="0" applyNumberFormat="1" applyFont="1" applyProtection="1">
      <protection locked="0" hidden="1"/>
    </xf>
    <xf numFmtId="0" fontId="26" fillId="0" borderId="29" xfId="0" applyNumberFormat="1" applyFont="1" applyBorder="1" applyProtection="1">
      <protection locked="0" hidden="1"/>
    </xf>
    <xf numFmtId="0" fontId="26" fillId="38" borderId="29" xfId="0" applyNumberFormat="1" applyFont="1" applyFill="1" applyBorder="1" applyProtection="1">
      <protection locked="0" hidden="1"/>
    </xf>
    <xf numFmtId="0" fontId="26" fillId="38" borderId="20" xfId="0" applyNumberFormat="1" applyFont="1" applyFill="1" applyBorder="1" applyProtection="1">
      <protection locked="0" hidden="1"/>
    </xf>
    <xf numFmtId="0" fontId="26" fillId="35" borderId="29" xfId="0" applyNumberFormat="1" applyFont="1" applyFill="1" applyBorder="1" applyProtection="1">
      <protection locked="0" hidden="1"/>
    </xf>
    <xf numFmtId="0" fontId="26" fillId="35" borderId="20" xfId="0" applyNumberFormat="1" applyFont="1" applyFill="1" applyBorder="1" applyProtection="1">
      <protection locked="0" hidden="1"/>
    </xf>
    <xf numFmtId="0" fontId="26" fillId="38" borderId="30" xfId="0" applyNumberFormat="1" applyFont="1" applyFill="1" applyBorder="1" applyProtection="1">
      <protection locked="0" hidden="1"/>
    </xf>
    <xf numFmtId="0" fontId="26" fillId="44" borderId="20" xfId="0" applyNumberFormat="1" applyFont="1" applyFill="1" applyBorder="1" applyProtection="1">
      <protection locked="0" hidden="1"/>
    </xf>
    <xf numFmtId="0" fontId="26" fillId="0" borderId="20" xfId="0" applyNumberFormat="1" applyFont="1" applyBorder="1" applyProtection="1">
      <protection locked="0" hidden="1"/>
    </xf>
    <xf numFmtId="0" fontId="26" fillId="0" borderId="30" xfId="0" applyNumberFormat="1" applyFont="1" applyBorder="1" applyProtection="1">
      <protection locked="0" hidden="1"/>
    </xf>
    <xf numFmtId="0" fontId="26" fillId="44" borderId="29" xfId="0" applyNumberFormat="1" applyFont="1" applyFill="1" applyBorder="1" applyProtection="1">
      <protection locked="0" hidden="1"/>
    </xf>
    <xf numFmtId="0" fontId="26" fillId="44" borderId="30" xfId="0" applyNumberFormat="1" applyFont="1" applyFill="1" applyBorder="1" applyProtection="1">
      <protection locked="0" hidden="1"/>
    </xf>
    <xf numFmtId="0" fontId="1" fillId="0" borderId="31" xfId="0" applyNumberFormat="1" applyFont="1" applyBorder="1" applyProtection="1">
      <protection locked="0" hidden="1"/>
    </xf>
    <xf numFmtId="0" fontId="26" fillId="0" borderId="24" xfId="0" applyNumberFormat="1" applyFont="1" applyBorder="1" applyProtection="1">
      <protection locked="0" hidden="1"/>
    </xf>
    <xf numFmtId="0" fontId="26" fillId="0" borderId="24" xfId="0" applyNumberFormat="1" applyFont="1" applyBorder="1" applyAlignment="1" applyProtection="1">
      <alignment horizontal="left"/>
      <protection locked="0" hidden="1"/>
    </xf>
    <xf numFmtId="0" fontId="26" fillId="0" borderId="0" xfId="0" applyNumberFormat="1" applyFont="1" applyBorder="1" applyAlignment="1" applyProtection="1">
      <alignment horizontal="left"/>
      <protection locked="0" hidden="1"/>
    </xf>
    <xf numFmtId="0" fontId="26" fillId="0" borderId="26" xfId="0" applyNumberFormat="1" applyFont="1" applyBorder="1" applyAlignment="1" applyProtection="1">
      <alignment horizontal="left"/>
      <protection locked="0" hidden="1"/>
    </xf>
    <xf numFmtId="0" fontId="0" fillId="0" borderId="16" xfId="0" applyNumberFormat="1" applyBorder="1" applyProtection="1">
      <protection locked="0" hidden="1"/>
    </xf>
    <xf numFmtId="0" fontId="1" fillId="0" borderId="16" xfId="0" applyNumberFormat="1" applyFont="1" applyBorder="1" applyProtection="1">
      <protection locked="0" hidden="1"/>
    </xf>
    <xf numFmtId="0" fontId="0" fillId="0" borderId="22" xfId="0" applyNumberFormat="1" applyBorder="1" applyProtection="1">
      <protection locked="0" hidden="1"/>
    </xf>
    <xf numFmtId="0" fontId="0" fillId="0" borderId="22" xfId="0" applyNumberFormat="1" applyBorder="1" applyAlignment="1" applyProtection="1">
      <alignment horizontal="left"/>
      <protection locked="0" hidden="1"/>
    </xf>
    <xf numFmtId="0" fontId="0" fillId="0" borderId="11" xfId="0" applyNumberFormat="1" applyBorder="1" applyAlignment="1" applyProtection="1">
      <alignment horizontal="left"/>
      <protection locked="0" hidden="1"/>
    </xf>
    <xf numFmtId="0" fontId="0" fillId="0" borderId="28" xfId="0" applyNumberFormat="1" applyBorder="1" applyAlignment="1" applyProtection="1">
      <alignment horizontal="left"/>
      <protection locked="0" hidden="1"/>
    </xf>
    <xf numFmtId="0" fontId="0" fillId="0" borderId="11" xfId="0" applyNumberFormat="1" applyBorder="1" applyProtection="1">
      <protection locked="0" hidden="1"/>
    </xf>
    <xf numFmtId="0" fontId="0" fillId="0" borderId="28" xfId="0" applyNumberFormat="1" applyBorder="1" applyProtection="1">
      <protection locked="0" hidden="1"/>
    </xf>
    <xf numFmtId="0" fontId="0" fillId="0" borderId="13" xfId="0" applyNumberFormat="1" applyBorder="1" applyProtection="1">
      <protection locked="0" hidden="1"/>
    </xf>
    <xf numFmtId="0" fontId="0" fillId="0" borderId="24" xfId="0" applyNumberFormat="1" applyBorder="1" applyProtection="1">
      <protection locked="0" hidden="1"/>
    </xf>
    <xf numFmtId="0" fontId="82" fillId="0" borderId="24" xfId="0" applyNumberFormat="1" applyFont="1" applyBorder="1" applyProtection="1">
      <protection locked="0" hidden="1"/>
    </xf>
    <xf numFmtId="0" fontId="82" fillId="0" borderId="0" xfId="0" applyNumberFormat="1" applyFont="1" applyBorder="1" applyProtection="1">
      <protection locked="0" hidden="1"/>
    </xf>
    <xf numFmtId="0" fontId="82" fillId="0" borderId="26" xfId="0" applyNumberFormat="1" applyFont="1" applyBorder="1" applyProtection="1">
      <protection locked="0" hidden="1"/>
    </xf>
    <xf numFmtId="0" fontId="82" fillId="0" borderId="16" xfId="0" applyNumberFormat="1" applyFont="1" applyBorder="1" applyProtection="1">
      <protection locked="0" hidden="1"/>
    </xf>
    <xf numFmtId="0" fontId="82" fillId="0" borderId="11" xfId="0" applyNumberFormat="1" applyFont="1" applyBorder="1" applyProtection="1">
      <protection locked="0" hidden="1"/>
    </xf>
    <xf numFmtId="0" fontId="82" fillId="0" borderId="28" xfId="0" applyNumberFormat="1" applyFont="1" applyBorder="1" applyProtection="1">
      <protection locked="0" hidden="1"/>
    </xf>
    <xf numFmtId="0" fontId="82" fillId="0" borderId="13" xfId="0" applyNumberFormat="1" applyFont="1" applyBorder="1" applyProtection="1">
      <protection locked="0" hidden="1"/>
    </xf>
    <xf numFmtId="0" fontId="74" fillId="0" borderId="24" xfId="0" applyNumberFormat="1" applyFont="1" applyBorder="1" applyAlignment="1" applyProtection="1">
      <alignment horizontal="right"/>
      <protection locked="0" hidden="1"/>
    </xf>
    <xf numFmtId="0" fontId="74" fillId="0" borderId="0" xfId="0" applyNumberFormat="1" applyFont="1" applyBorder="1" applyAlignment="1" applyProtection="1">
      <alignment horizontal="right"/>
      <protection locked="0" hidden="1"/>
    </xf>
    <xf numFmtId="0" fontId="74" fillId="0" borderId="26" xfId="0" applyNumberFormat="1" applyFont="1" applyBorder="1" applyAlignment="1" applyProtection="1">
      <alignment horizontal="right"/>
      <protection locked="0" hidden="1"/>
    </xf>
    <xf numFmtId="0" fontId="26" fillId="0" borderId="22" xfId="0" applyNumberFormat="1" applyFont="1" applyBorder="1" applyProtection="1">
      <protection locked="0" hidden="1"/>
    </xf>
    <xf numFmtId="0" fontId="74" fillId="0" borderId="22" xfId="0" applyNumberFormat="1" applyFont="1" applyBorder="1" applyAlignment="1" applyProtection="1">
      <alignment horizontal="right"/>
      <protection locked="0" hidden="1"/>
    </xf>
    <xf numFmtId="0" fontId="74" fillId="0" borderId="11" xfId="0" applyNumberFormat="1" applyFont="1" applyBorder="1" applyAlignment="1" applyProtection="1">
      <alignment horizontal="right"/>
      <protection locked="0" hidden="1"/>
    </xf>
    <xf numFmtId="0" fontId="74" fillId="0" borderId="28" xfId="0" applyNumberFormat="1" applyFont="1" applyBorder="1" applyAlignment="1" applyProtection="1">
      <alignment horizontal="right"/>
      <protection locked="0" hidden="1"/>
    </xf>
    <xf numFmtId="0" fontId="26" fillId="0" borderId="0" xfId="0" applyNumberFormat="1" applyFont="1" applyProtection="1">
      <protection hidden="1"/>
    </xf>
    <xf numFmtId="0" fontId="26" fillId="0" borderId="24" xfId="0" applyNumberFormat="1" applyFont="1" applyBorder="1" applyAlignment="1" applyProtection="1">
      <alignment horizontal="right"/>
      <protection hidden="1"/>
    </xf>
    <xf numFmtId="0" fontId="26" fillId="0" borderId="0" xfId="0" applyNumberFormat="1" applyFont="1" applyBorder="1" applyAlignment="1" applyProtection="1">
      <alignment horizontal="right"/>
      <protection hidden="1"/>
    </xf>
    <xf numFmtId="0" fontId="26" fillId="0" borderId="26" xfId="0" applyNumberFormat="1" applyFont="1" applyBorder="1" applyAlignment="1" applyProtection="1">
      <alignment horizontal="right"/>
      <protection hidden="1"/>
    </xf>
    <xf numFmtId="0" fontId="26" fillId="0" borderId="0" xfId="0" applyNumberFormat="1" applyFont="1" applyAlignment="1" applyProtection="1">
      <alignment horizontal="right"/>
      <protection hidden="1"/>
    </xf>
    <xf numFmtId="0" fontId="0" fillId="0" borderId="0" xfId="0" applyNumberFormat="1" applyProtection="1">
      <protection hidden="1"/>
    </xf>
    <xf numFmtId="0" fontId="1" fillId="0" borderId="0" xfId="0" applyNumberFormat="1" applyFont="1" applyProtection="1">
      <protection hidden="1"/>
    </xf>
    <xf numFmtId="0" fontId="0" fillId="0" borderId="24" xfId="0" applyNumberFormat="1" applyBorder="1" applyProtection="1">
      <protection hidden="1"/>
    </xf>
    <xf numFmtId="0" fontId="0" fillId="0" borderId="0" xfId="0" applyNumberFormat="1" applyBorder="1" applyProtection="1">
      <protection hidden="1"/>
    </xf>
    <xf numFmtId="0" fontId="0" fillId="0" borderId="26" xfId="0" applyNumberFormat="1" applyBorder="1" applyProtection="1">
      <protection hidden="1"/>
    </xf>
    <xf numFmtId="0" fontId="68" fillId="0" borderId="0" xfId="0" applyNumberFormat="1" applyFont="1" applyProtection="1">
      <protection hidden="1"/>
    </xf>
    <xf numFmtId="0" fontId="66" fillId="49" borderId="29" xfId="0" applyNumberFormat="1" applyFont="1" applyFill="1" applyBorder="1" applyProtection="1">
      <protection hidden="1"/>
    </xf>
    <xf numFmtId="0" fontId="66" fillId="49" borderId="20" xfId="0" applyNumberFormat="1" applyFont="1" applyFill="1" applyBorder="1" applyProtection="1">
      <protection hidden="1"/>
    </xf>
    <xf numFmtId="0" fontId="66" fillId="49" borderId="30" xfId="0" applyNumberFormat="1" applyFont="1" applyFill="1" applyBorder="1" applyProtection="1">
      <protection hidden="1"/>
    </xf>
    <xf numFmtId="0" fontId="68" fillId="49" borderId="22" xfId="0" applyNumberFormat="1" applyFont="1" applyFill="1" applyBorder="1" applyProtection="1">
      <protection hidden="1"/>
    </xf>
    <xf numFmtId="0" fontId="68" fillId="49" borderId="11" xfId="0" applyNumberFormat="1" applyFont="1" applyFill="1" applyBorder="1" applyProtection="1">
      <protection hidden="1"/>
    </xf>
    <xf numFmtId="0" fontId="68" fillId="49" borderId="28" xfId="0" applyNumberFormat="1" applyFont="1" applyFill="1" applyBorder="1" applyProtection="1">
      <protection hidden="1"/>
    </xf>
    <xf numFmtId="0" fontId="0" fillId="0" borderId="29" xfId="0" applyNumberFormat="1" applyBorder="1" applyProtection="1">
      <protection hidden="1"/>
    </xf>
    <xf numFmtId="0" fontId="0" fillId="0" borderId="20" xfId="0" applyNumberFormat="1" applyBorder="1" applyProtection="1">
      <protection hidden="1"/>
    </xf>
    <xf numFmtId="0" fontId="0" fillId="0" borderId="32" xfId="0" applyNumberFormat="1" applyBorder="1" applyProtection="1">
      <protection hidden="1"/>
    </xf>
    <xf numFmtId="0" fontId="0" fillId="0" borderId="12" xfId="0" applyNumberFormat="1" applyBorder="1" applyProtection="1">
      <protection hidden="1"/>
    </xf>
    <xf numFmtId="0" fontId="0" fillId="0" borderId="13" xfId="0" applyNumberFormat="1" applyBorder="1" applyProtection="1">
      <protection hidden="1"/>
    </xf>
    <xf numFmtId="0" fontId="0" fillId="0" borderId="14" xfId="0" applyNumberFormat="1" applyBorder="1" applyProtection="1">
      <protection hidden="1"/>
    </xf>
    <xf numFmtId="0" fontId="0" fillId="0" borderId="22" xfId="0" applyNumberFormat="1" applyBorder="1" applyProtection="1">
      <protection hidden="1"/>
    </xf>
    <xf numFmtId="0" fontId="38" fillId="0" borderId="10" xfId="0" applyNumberFormat="1" applyFont="1" applyBorder="1" applyProtection="1">
      <protection hidden="1"/>
    </xf>
    <xf numFmtId="0" fontId="38" fillId="0" borderId="27" xfId="0" applyNumberFormat="1" applyFont="1" applyBorder="1" applyAlignment="1" applyProtection="1">
      <alignment horizontal="left"/>
      <protection hidden="1"/>
    </xf>
    <xf numFmtId="0" fontId="31" fillId="0" borderId="27" xfId="0" applyNumberFormat="1" applyFont="1" applyBorder="1" applyProtection="1">
      <protection hidden="1"/>
    </xf>
    <xf numFmtId="0" fontId="31" fillId="0" borderId="0" xfId="0" applyNumberFormat="1" applyFont="1" applyAlignment="1" applyProtection="1">
      <alignment horizontal="left"/>
      <protection locked="0"/>
    </xf>
    <xf numFmtId="0" fontId="31" fillId="34" borderId="14" xfId="0" applyNumberFormat="1" applyFont="1" applyFill="1" applyBorder="1" applyAlignment="1" applyProtection="1">
      <alignment horizontal="left"/>
      <protection locked="0"/>
    </xf>
    <xf numFmtId="0" fontId="58" fillId="0" borderId="0" xfId="0" applyNumberFormat="1" applyFont="1" applyProtection="1">
      <protection hidden="1"/>
    </xf>
    <xf numFmtId="0" fontId="31" fillId="0" borderId="0" xfId="0" applyNumberFormat="1" applyFont="1"/>
    <xf numFmtId="0" fontId="1" fillId="0" borderId="34" xfId="0" applyNumberFormat="1" applyFont="1" applyBorder="1" applyAlignment="1" applyProtection="1">
      <protection hidden="1"/>
    </xf>
    <xf numFmtId="0" fontId="31" fillId="0" borderId="35" xfId="0" applyNumberFormat="1" applyFont="1" applyBorder="1" applyProtection="1">
      <protection hidden="1"/>
    </xf>
    <xf numFmtId="0" fontId="36" fillId="0" borderId="35" xfId="0" applyNumberFormat="1" applyFont="1" applyBorder="1" applyProtection="1">
      <protection hidden="1"/>
    </xf>
    <xf numFmtId="0" fontId="26" fillId="0" borderId="14" xfId="0" applyNumberFormat="1" applyFont="1" applyBorder="1" applyProtection="1">
      <protection hidden="1"/>
    </xf>
    <xf numFmtId="0" fontId="1" fillId="0" borderId="32" xfId="0" applyNumberFormat="1" applyFont="1" applyBorder="1" applyAlignment="1" applyProtection="1">
      <protection hidden="1"/>
    </xf>
    <xf numFmtId="0" fontId="31" fillId="0" borderId="12" xfId="0" applyNumberFormat="1" applyFont="1" applyBorder="1" applyProtection="1">
      <protection hidden="1"/>
    </xf>
    <xf numFmtId="0" fontId="1" fillId="0" borderId="12" xfId="0" applyNumberFormat="1" applyFont="1" applyBorder="1" applyProtection="1">
      <protection hidden="1"/>
    </xf>
    <xf numFmtId="0" fontId="36" fillId="0" borderId="12" xfId="0" applyNumberFormat="1" applyFont="1" applyBorder="1" applyProtection="1">
      <protection hidden="1"/>
    </xf>
    <xf numFmtId="0" fontId="35" fillId="0" borderId="0" xfId="0" applyNumberFormat="1" applyFont="1"/>
    <xf numFmtId="0" fontId="26" fillId="0" borderId="14" xfId="0" applyNumberFormat="1" applyFont="1" applyBorder="1" applyAlignment="1" applyProtection="1">
      <alignment horizontal="left"/>
      <protection hidden="1"/>
    </xf>
    <xf numFmtId="0" fontId="29" fillId="0" borderId="32" xfId="0" applyNumberFormat="1" applyFont="1" applyFill="1" applyBorder="1" applyAlignment="1" applyProtection="1">
      <protection hidden="1"/>
    </xf>
    <xf numFmtId="0" fontId="29" fillId="0" borderId="0" xfId="0" applyNumberFormat="1" applyFont="1"/>
    <xf numFmtId="0" fontId="29" fillId="0" borderId="12" xfId="0" applyNumberFormat="1" applyFont="1" applyBorder="1" applyProtection="1">
      <protection hidden="1"/>
    </xf>
    <xf numFmtId="0" fontId="1" fillId="0" borderId="32" xfId="0" applyNumberFormat="1" applyFont="1" applyFill="1" applyBorder="1" applyAlignment="1" applyProtection="1">
      <protection hidden="1"/>
    </xf>
    <xf numFmtId="0" fontId="1" fillId="0" borderId="14" xfId="0" applyNumberFormat="1" applyFont="1" applyBorder="1" applyProtection="1">
      <protection hidden="1"/>
    </xf>
    <xf numFmtId="0" fontId="1" fillId="0" borderId="24" xfId="0" applyNumberFormat="1" applyFont="1" applyBorder="1" applyAlignment="1" applyProtection="1">
      <protection hidden="1"/>
    </xf>
    <xf numFmtId="0" fontId="31" fillId="0" borderId="0" xfId="0" applyNumberFormat="1" applyFont="1" applyBorder="1" applyProtection="1">
      <protection hidden="1"/>
    </xf>
    <xf numFmtId="0" fontId="36" fillId="0" borderId="0" xfId="0" applyNumberFormat="1" applyFont="1" applyBorder="1" applyProtection="1">
      <protection hidden="1"/>
    </xf>
    <xf numFmtId="0" fontId="1" fillId="0" borderId="22" xfId="0" applyNumberFormat="1" applyFont="1" applyBorder="1" applyAlignment="1" applyProtection="1">
      <protection hidden="1"/>
    </xf>
    <xf numFmtId="0" fontId="31" fillId="0" borderId="11" xfId="0" applyNumberFormat="1" applyFont="1" applyBorder="1" applyProtection="1">
      <protection hidden="1"/>
    </xf>
    <xf numFmtId="0" fontId="36" fillId="0" borderId="11" xfId="0" applyNumberFormat="1" applyFont="1" applyBorder="1" applyProtection="1">
      <protection hidden="1"/>
    </xf>
    <xf numFmtId="0" fontId="22" fillId="0" borderId="14" xfId="0" applyNumberFormat="1" applyFont="1" applyBorder="1" applyAlignment="1" applyProtection="1">
      <protection locked="0"/>
    </xf>
    <xf numFmtId="0" fontId="1" fillId="0" borderId="14" xfId="0" applyNumberFormat="1" applyFont="1" applyBorder="1" applyAlignment="1" applyProtection="1">
      <protection hidden="1"/>
    </xf>
    <xf numFmtId="0" fontId="21" fillId="0" borderId="0" xfId="0" applyNumberFormat="1" applyFont="1"/>
    <xf numFmtId="0" fontId="22" fillId="0" borderId="12" xfId="0" applyNumberFormat="1" applyFont="1" applyBorder="1" applyAlignment="1" applyProtection="1">
      <protection hidden="1"/>
    </xf>
    <xf numFmtId="0" fontId="30" fillId="0" borderId="11" xfId="0" applyNumberFormat="1" applyFont="1" applyBorder="1" applyAlignment="1" applyProtection="1">
      <alignment horizontal="center"/>
      <protection hidden="1"/>
    </xf>
    <xf numFmtId="0" fontId="29" fillId="0" borderId="0" xfId="0" applyNumberFormat="1" applyFont="1" applyProtection="1">
      <protection hidden="1"/>
    </xf>
    <xf numFmtId="0" fontId="31" fillId="0" borderId="0" xfId="0" applyNumberFormat="1" applyFont="1" applyAlignment="1" applyProtection="1">
      <alignment horizontal="left"/>
      <protection hidden="1"/>
    </xf>
    <xf numFmtId="0" fontId="31" fillId="0" borderId="0" xfId="0" applyNumberFormat="1" applyFont="1" applyProtection="1">
      <protection hidden="1"/>
    </xf>
    <xf numFmtId="0" fontId="23" fillId="0" borderId="0" xfId="0" applyNumberFormat="1" applyFont="1" applyBorder="1" applyAlignment="1" applyProtection="1">
      <alignment horizontal="left"/>
      <protection hidden="1"/>
    </xf>
    <xf numFmtId="0" fontId="28" fillId="0" borderId="0" xfId="0" applyNumberFormat="1" applyFont="1" applyAlignment="1" applyProtection="1">
      <alignment horizontal="left"/>
      <protection hidden="1"/>
    </xf>
    <xf numFmtId="0" fontId="28" fillId="0" borderId="0" xfId="0" applyNumberFormat="1" applyFont="1" applyBorder="1" applyAlignment="1" applyProtection="1">
      <alignment horizontal="left"/>
      <protection hidden="1"/>
    </xf>
    <xf numFmtId="0" fontId="26" fillId="0" borderId="0" xfId="0" quotePrefix="1" applyNumberFormat="1" applyFont="1" applyBorder="1" applyAlignment="1" applyProtection="1">
      <alignment horizontal="center"/>
      <protection hidden="1"/>
    </xf>
    <xf numFmtId="0" fontId="26" fillId="0" borderId="0" xfId="0" applyNumberFormat="1" applyFont="1" applyBorder="1" applyAlignment="1" applyProtection="1">
      <alignment horizontal="left"/>
      <protection hidden="1"/>
    </xf>
    <xf numFmtId="0" fontId="26" fillId="0" borderId="0" xfId="0" quotePrefix="1" applyNumberFormat="1" applyFont="1" applyBorder="1" applyAlignment="1" applyProtection="1">
      <alignment horizontal="right"/>
      <protection hidden="1"/>
    </xf>
    <xf numFmtId="0" fontId="26" fillId="0" borderId="0" xfId="0" applyNumberFormat="1" applyFont="1" applyAlignment="1" applyProtection="1">
      <alignment horizontal="left"/>
      <protection hidden="1"/>
    </xf>
    <xf numFmtId="0" fontId="26" fillId="0" borderId="0" xfId="0" applyNumberFormat="1" applyFont="1" applyBorder="1" applyAlignment="1" applyProtection="1">
      <alignment horizontal="center"/>
      <protection hidden="1"/>
    </xf>
    <xf numFmtId="0" fontId="26" fillId="0" borderId="0" xfId="0" applyNumberFormat="1" applyFont="1" applyFill="1" applyBorder="1" applyAlignment="1" applyProtection="1">
      <alignment horizontal="left"/>
      <protection hidden="1"/>
    </xf>
    <xf numFmtId="0" fontId="30" fillId="0" borderId="0" xfId="0" applyNumberFormat="1" applyFont="1"/>
    <xf numFmtId="0" fontId="30" fillId="0" borderId="0" xfId="0" applyNumberFormat="1"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Protection="1">
      <protection hidden="1"/>
    </xf>
    <xf numFmtId="0" fontId="30" fillId="0" borderId="0" xfId="0" applyNumberFormat="1" applyFont="1" applyBorder="1" applyProtection="1">
      <protection locked="0"/>
    </xf>
    <xf numFmtId="0" fontId="30" fillId="0" borderId="0" xfId="0" applyNumberFormat="1" applyFont="1" applyBorder="1"/>
    <xf numFmtId="0" fontId="30" fillId="0" borderId="0" xfId="0" applyNumberFormat="1" applyFont="1" applyBorder="1" applyAlignment="1">
      <alignment vertical="top"/>
    </xf>
    <xf numFmtId="0" fontId="36" fillId="0" borderId="0" xfId="0" applyNumberFormat="1" applyFont="1" applyProtection="1">
      <protection locked="0"/>
    </xf>
    <xf numFmtId="0" fontId="29" fillId="0" borderId="0" xfId="0" applyNumberFormat="1" applyFont="1" applyProtection="1">
      <protection locked="0"/>
    </xf>
    <xf numFmtId="0" fontId="26" fillId="0" borderId="0" xfId="0" applyNumberFormat="1" applyFont="1"/>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left"/>
      <protection hidden="1"/>
    </xf>
    <xf numFmtId="0" fontId="31" fillId="0" borderId="0" xfId="0" applyNumberFormat="1" applyFont="1" applyProtection="1">
      <protection locked="0"/>
    </xf>
    <xf numFmtId="0" fontId="28" fillId="0" borderId="29" xfId="45" applyNumberFormat="1" applyFont="1" applyBorder="1" applyAlignment="1" applyProtection="1">
      <alignment vertical="top"/>
      <protection hidden="1"/>
    </xf>
    <xf numFmtId="0" fontId="28" fillId="0" borderId="30" xfId="45" applyNumberFormat="1" applyFont="1" applyBorder="1" applyAlignment="1" applyProtection="1">
      <alignment vertical="top"/>
      <protection hidden="1"/>
    </xf>
    <xf numFmtId="0" fontId="28" fillId="0" borderId="31" xfId="45" applyNumberFormat="1" applyFont="1" applyBorder="1" applyAlignment="1" applyProtection="1">
      <alignment vertical="top"/>
      <protection hidden="1"/>
    </xf>
    <xf numFmtId="0" fontId="28" fillId="0" borderId="29" xfId="45" applyNumberFormat="1" applyFont="1" applyBorder="1" applyAlignment="1" applyProtection="1">
      <alignment vertical="top"/>
      <protection locked="0"/>
    </xf>
    <xf numFmtId="0" fontId="1" fillId="0" borderId="30" xfId="45" applyNumberFormat="1" applyBorder="1" applyProtection="1">
      <protection locked="0"/>
    </xf>
    <xf numFmtId="0" fontId="28" fillId="0" borderId="31" xfId="45" applyNumberFormat="1" applyFont="1" applyBorder="1" applyProtection="1">
      <protection locked="0"/>
    </xf>
    <xf numFmtId="0" fontId="26" fillId="0" borderId="0" xfId="45" applyNumberFormat="1" applyFont="1" applyAlignment="1" applyProtection="1">
      <alignment horizontal="left"/>
      <protection locked="0"/>
    </xf>
    <xf numFmtId="0" fontId="1" fillId="0" borderId="0" xfId="45" applyNumberFormat="1" applyProtection="1">
      <protection locked="0"/>
    </xf>
    <xf numFmtId="0" fontId="38" fillId="0" borderId="22" xfId="45" applyNumberFormat="1" applyFont="1" applyBorder="1" applyAlignment="1" applyProtection="1">
      <alignment horizontal="left"/>
      <protection hidden="1"/>
    </xf>
    <xf numFmtId="0" fontId="38" fillId="0" borderId="28" xfId="45" applyNumberFormat="1" applyFont="1" applyBorder="1" applyAlignment="1" applyProtection="1">
      <alignment horizontal="left"/>
      <protection hidden="1"/>
    </xf>
    <xf numFmtId="0" fontId="38" fillId="0" borderId="13" xfId="45" applyNumberFormat="1" applyFont="1" applyBorder="1" applyAlignment="1" applyProtection="1">
      <alignment horizontal="left"/>
      <protection hidden="1"/>
    </xf>
    <xf numFmtId="0" fontId="38" fillId="0" borderId="13" xfId="45" applyNumberFormat="1" applyFont="1" applyBorder="1" applyAlignment="1" applyProtection="1">
      <alignment horizontal="center"/>
      <protection locked="0"/>
    </xf>
    <xf numFmtId="0" fontId="20" fillId="0" borderId="0" xfId="45" applyNumberFormat="1" applyFont="1" applyAlignment="1" applyProtection="1">
      <alignment horizontal="left"/>
      <protection locked="0"/>
    </xf>
    <xf numFmtId="0" fontId="28" fillId="33" borderId="20" xfId="45" applyNumberFormat="1" applyFont="1" applyFill="1" applyBorder="1" applyAlignment="1" applyProtection="1">
      <alignment horizontal="right" vertical="top" wrapText="1"/>
      <protection locked="0"/>
    </xf>
    <xf numFmtId="0" fontId="39" fillId="0" borderId="20" xfId="45" applyNumberFormat="1" applyFont="1" applyFill="1" applyBorder="1" applyAlignment="1" applyProtection="1">
      <protection locked="0"/>
    </xf>
    <xf numFmtId="0" fontId="40" fillId="0" borderId="20" xfId="45" applyNumberFormat="1" applyFont="1" applyFill="1" applyBorder="1" applyProtection="1">
      <protection locked="0"/>
    </xf>
    <xf numFmtId="0" fontId="1" fillId="0" borderId="30" xfId="45" applyNumberFormat="1" applyFont="1" applyFill="1" applyBorder="1" applyProtection="1">
      <protection locked="0"/>
    </xf>
    <xf numFmtId="0" fontId="28" fillId="33" borderId="28" xfId="45" applyNumberFormat="1" applyFont="1" applyFill="1" applyBorder="1" applyAlignment="1" applyProtection="1">
      <alignment horizontal="right" vertical="top" wrapText="1"/>
      <protection locked="0"/>
    </xf>
    <xf numFmtId="0" fontId="28" fillId="28" borderId="33" xfId="45" applyNumberFormat="1" applyFont="1" applyFill="1" applyBorder="1" applyAlignment="1" applyProtection="1">
      <alignment vertical="top" wrapText="1"/>
      <protection locked="0"/>
    </xf>
    <xf numFmtId="0" fontId="28" fillId="0" borderId="13" xfId="45" applyNumberFormat="1" applyFont="1" applyBorder="1" applyAlignment="1" applyProtection="1">
      <protection locked="0"/>
    </xf>
    <xf numFmtId="0" fontId="28" fillId="0" borderId="11" xfId="45" applyNumberFormat="1" applyFont="1" applyBorder="1" applyAlignment="1" applyProtection="1">
      <alignment horizontal="center" textRotation="90"/>
      <protection locked="0"/>
    </xf>
    <xf numFmtId="0" fontId="40" fillId="26" borderId="14" xfId="45" applyNumberFormat="1" applyFont="1" applyFill="1" applyBorder="1" applyAlignment="1" applyProtection="1">
      <alignment horizontal="center"/>
      <protection locked="0"/>
    </xf>
    <xf numFmtId="0" fontId="26" fillId="0" borderId="14" xfId="45" applyNumberFormat="1" applyFont="1" applyFill="1" applyBorder="1" applyProtection="1"/>
    <xf numFmtId="0" fontId="28" fillId="0" borderId="13" xfId="45" applyNumberFormat="1" applyFont="1" applyBorder="1" applyAlignment="1" applyProtection="1">
      <alignment textRotation="90"/>
      <protection locked="0"/>
    </xf>
    <xf numFmtId="0" fontId="28" fillId="0" borderId="22" xfId="45" applyNumberFormat="1" applyFont="1" applyBorder="1" applyAlignment="1" applyProtection="1">
      <alignment textRotation="90"/>
      <protection locked="0"/>
    </xf>
    <xf numFmtId="0" fontId="26" fillId="33" borderId="14" xfId="45" applyNumberFormat="1" applyFont="1" applyFill="1" applyBorder="1" applyAlignment="1" applyProtection="1">
      <alignment horizontal="center"/>
      <protection locked="0"/>
    </xf>
    <xf numFmtId="0" fontId="37" fillId="0" borderId="11" xfId="45" applyNumberFormat="1" applyFont="1" applyFill="1" applyBorder="1" applyAlignment="1" applyProtection="1">
      <alignment horizontal="right" vertical="top" wrapText="1"/>
      <protection hidden="1"/>
    </xf>
    <xf numFmtId="0" fontId="84" fillId="0" borderId="28" xfId="45" applyNumberFormat="1" applyFont="1" applyFill="1" applyBorder="1" applyAlignment="1" applyProtection="1">
      <alignment horizontal="left" vertical="top" wrapText="1"/>
      <protection hidden="1"/>
    </xf>
    <xf numFmtId="0" fontId="1" fillId="0" borderId="13" xfId="45" applyNumberFormat="1" applyFont="1" applyBorder="1" applyAlignment="1" applyProtection="1">
      <alignment horizontal="right"/>
      <protection hidden="1"/>
    </xf>
    <xf numFmtId="0" fontId="1" fillId="0" borderId="13" xfId="45" applyNumberFormat="1" applyFont="1" applyBorder="1" applyAlignment="1" applyProtection="1">
      <alignment horizontal="center"/>
      <protection hidden="1"/>
    </xf>
    <xf numFmtId="0" fontId="1" fillId="0" borderId="22" xfId="45" quotePrefix="1" applyNumberFormat="1" applyFont="1" applyBorder="1" applyAlignment="1" applyProtection="1">
      <alignment horizontal="center"/>
      <protection hidden="1"/>
    </xf>
    <xf numFmtId="0" fontId="1" fillId="0" borderId="14" xfId="45" applyNumberFormat="1" applyFont="1" applyBorder="1" applyAlignment="1" applyProtection="1">
      <protection locked="0"/>
    </xf>
    <xf numFmtId="0" fontId="28" fillId="0" borderId="0" xfId="45" applyNumberFormat="1" applyFont="1" applyBorder="1" applyProtection="1">
      <protection locked="0"/>
    </xf>
    <xf numFmtId="0" fontId="28" fillId="0" borderId="26" xfId="45" applyNumberFormat="1" applyFont="1" applyBorder="1" applyProtection="1">
      <protection locked="0"/>
    </xf>
    <xf numFmtId="0" fontId="1" fillId="0" borderId="0" xfId="45" applyNumberFormat="1" applyFont="1" applyProtection="1">
      <protection locked="0"/>
    </xf>
    <xf numFmtId="0" fontId="1" fillId="0" borderId="14" xfId="45" applyNumberFormat="1" applyFont="1" applyFill="1" applyBorder="1" applyAlignment="1" applyProtection="1">
      <protection locked="0"/>
    </xf>
    <xf numFmtId="0" fontId="28" fillId="0" borderId="22" xfId="45" applyNumberFormat="1" applyFont="1" applyBorder="1" applyProtection="1">
      <protection locked="0"/>
    </xf>
    <xf numFmtId="0" fontId="28" fillId="0" borderId="28" xfId="45" applyNumberFormat="1" applyFont="1" applyBorder="1" applyProtection="1">
      <protection locked="0"/>
    </xf>
    <xf numFmtId="0" fontId="28" fillId="0" borderId="24" xfId="45" applyNumberFormat="1" applyFont="1" applyBorder="1" applyProtection="1">
      <protection locked="0"/>
    </xf>
    <xf numFmtId="0" fontId="28" fillId="0" borderId="29" xfId="45" applyNumberFormat="1" applyFont="1" applyBorder="1" applyProtection="1">
      <protection locked="0"/>
    </xf>
    <xf numFmtId="0" fontId="28" fillId="0" borderId="30" xfId="45" applyNumberFormat="1" applyFont="1" applyBorder="1" applyProtection="1">
      <protection locked="0"/>
    </xf>
    <xf numFmtId="0" fontId="1" fillId="0" borderId="32" xfId="45" applyNumberFormat="1" applyFont="1" applyBorder="1" applyProtection="1">
      <protection locked="0"/>
    </xf>
    <xf numFmtId="0" fontId="1" fillId="0" borderId="33" xfId="45" applyNumberFormat="1" applyFont="1" applyBorder="1" applyProtection="1">
      <protection locked="0"/>
    </xf>
    <xf numFmtId="0" fontId="26" fillId="0" borderId="29" xfId="0" quotePrefix="1" applyNumberFormat="1" applyFont="1" applyBorder="1" applyAlignment="1" applyProtection="1">
      <alignment horizontal="center" vertical="top"/>
      <protection hidden="1"/>
    </xf>
    <xf numFmtId="0" fontId="28" fillId="0" borderId="30" xfId="0" applyNumberFormat="1" applyFont="1" applyBorder="1" applyAlignment="1" applyProtection="1">
      <alignment wrapText="1"/>
      <protection hidden="1"/>
    </xf>
    <xf numFmtId="0" fontId="26" fillId="0" borderId="24" xfId="0" applyNumberFormat="1" applyFont="1" applyBorder="1" applyAlignment="1" applyProtection="1">
      <alignment horizontal="center" vertical="top"/>
      <protection hidden="1"/>
    </xf>
    <xf numFmtId="0" fontId="28" fillId="0" borderId="26" xfId="0" applyNumberFormat="1" applyFont="1" applyBorder="1" applyAlignment="1" applyProtection="1">
      <alignment wrapText="1"/>
      <protection hidden="1"/>
    </xf>
    <xf numFmtId="0" fontId="28" fillId="0" borderId="26" xfId="0" applyNumberFormat="1" applyFont="1" applyBorder="1" applyAlignment="1" applyProtection="1">
      <alignment vertical="top" wrapText="1"/>
      <protection hidden="1"/>
    </xf>
    <xf numFmtId="0" fontId="25" fillId="0" borderId="22" xfId="0" applyNumberFormat="1" applyFont="1" applyBorder="1" applyProtection="1">
      <protection hidden="1"/>
    </xf>
    <xf numFmtId="0" fontId="25" fillId="0" borderId="28" xfId="0" applyNumberFormat="1" applyFont="1" applyBorder="1" applyProtection="1">
      <protection hidden="1"/>
    </xf>
    <xf numFmtId="0" fontId="26" fillId="0" borderId="24" xfId="45" applyNumberFormat="1" applyFont="1" applyBorder="1" applyProtection="1">
      <protection locked="0"/>
    </xf>
    <xf numFmtId="0" fontId="26" fillId="0" borderId="26" xfId="45" applyNumberFormat="1" applyFont="1" applyBorder="1" applyProtection="1">
      <protection locked="0"/>
    </xf>
    <xf numFmtId="0" fontId="26" fillId="0" borderId="0" xfId="45" applyNumberFormat="1" applyFont="1" applyBorder="1" applyProtection="1">
      <protection locked="0"/>
    </xf>
    <xf numFmtId="0" fontId="26" fillId="34" borderId="14" xfId="45" applyNumberFormat="1" applyFont="1" applyFill="1" applyBorder="1" applyProtection="1">
      <protection locked="0"/>
    </xf>
    <xf numFmtId="0" fontId="26" fillId="0" borderId="0" xfId="45" applyNumberFormat="1" applyFont="1" applyProtection="1">
      <protection locked="0"/>
    </xf>
    <xf numFmtId="0" fontId="79" fillId="0" borderId="28" xfId="45" applyNumberFormat="1" applyFont="1" applyFill="1" applyBorder="1" applyAlignment="1" applyProtection="1">
      <alignment horizontal="left" vertical="top" wrapText="1"/>
      <protection hidden="1"/>
    </xf>
    <xf numFmtId="0" fontId="28" fillId="0" borderId="20" xfId="45" applyNumberFormat="1" applyFont="1" applyBorder="1" applyAlignment="1" applyProtection="1">
      <alignment vertical="top"/>
      <protection hidden="1"/>
    </xf>
    <xf numFmtId="0" fontId="38" fillId="0" borderId="11" xfId="45" applyNumberFormat="1" applyFont="1" applyBorder="1" applyAlignment="1" applyProtection="1">
      <alignment horizontal="left"/>
      <protection hidden="1"/>
    </xf>
    <xf numFmtId="0" fontId="28" fillId="35" borderId="29" xfId="45" applyNumberFormat="1" applyFont="1" applyFill="1" applyBorder="1" applyAlignment="1" applyProtection="1">
      <alignment vertical="top" wrapText="1"/>
      <protection locked="0"/>
    </xf>
    <xf numFmtId="0" fontId="28" fillId="35" borderId="20" xfId="45" applyNumberFormat="1" applyFont="1" applyFill="1" applyBorder="1" applyAlignment="1" applyProtection="1">
      <alignment vertical="top" wrapText="1"/>
      <protection locked="0"/>
    </xf>
    <xf numFmtId="0" fontId="28" fillId="35" borderId="30" xfId="45" applyNumberFormat="1" applyFont="1" applyFill="1" applyBorder="1" applyAlignment="1" applyProtection="1">
      <alignment vertical="top" wrapText="1"/>
      <protection locked="0"/>
    </xf>
    <xf numFmtId="0" fontId="40" fillId="26" borderId="33" xfId="45" applyNumberFormat="1" applyFont="1" applyFill="1" applyBorder="1" applyAlignment="1" applyProtection="1">
      <alignment horizontal="center"/>
      <protection locked="0"/>
    </xf>
    <xf numFmtId="0" fontId="26" fillId="28" borderId="33" xfId="45" applyNumberFormat="1" applyFont="1" applyFill="1" applyBorder="1" applyAlignment="1" applyProtection="1">
      <protection locked="0"/>
    </xf>
    <xf numFmtId="0" fontId="30" fillId="33" borderId="14" xfId="45" applyNumberFormat="1" applyFont="1" applyFill="1" applyBorder="1" applyAlignment="1" applyProtection="1">
      <alignment horizontal="center"/>
      <protection locked="0"/>
    </xf>
    <xf numFmtId="0" fontId="26" fillId="33" borderId="14" xfId="45" applyNumberFormat="1" applyFont="1" applyFill="1" applyBorder="1" applyAlignment="1" applyProtection="1">
      <alignment horizontal="center" wrapText="1"/>
      <protection locked="0"/>
    </xf>
    <xf numFmtId="0" fontId="37" fillId="0" borderId="11" xfId="45" applyNumberFormat="1" applyFont="1" applyFill="1" applyBorder="1" applyAlignment="1" applyProtection="1">
      <alignment horizontal="right" vertical="center" wrapText="1"/>
      <protection hidden="1"/>
    </xf>
    <xf numFmtId="0" fontId="83" fillId="0" borderId="28" xfId="45" applyNumberFormat="1" applyFont="1" applyFill="1" applyBorder="1" applyAlignment="1" applyProtection="1">
      <alignment horizontal="left" vertical="center" wrapText="1"/>
      <protection hidden="1"/>
    </xf>
    <xf numFmtId="0" fontId="95" fillId="0" borderId="22" xfId="45" quotePrefix="1" applyNumberFormat="1" applyFont="1" applyBorder="1" applyAlignment="1" applyProtection="1">
      <alignment horizontal="center"/>
      <protection hidden="1"/>
    </xf>
    <xf numFmtId="0" fontId="33" fillId="0" borderId="29" xfId="0" applyNumberFormat="1" applyFont="1" applyBorder="1" applyProtection="1">
      <protection hidden="1"/>
    </xf>
    <xf numFmtId="0" fontId="33" fillId="0" borderId="30" xfId="0" applyNumberFormat="1" applyFont="1" applyBorder="1" applyProtection="1">
      <protection hidden="1"/>
    </xf>
    <xf numFmtId="0" fontId="33" fillId="0" borderId="24" xfId="0" applyNumberFormat="1" applyFont="1" applyBorder="1" applyProtection="1">
      <protection hidden="1"/>
    </xf>
    <xf numFmtId="0" fontId="33" fillId="0" borderId="26" xfId="0" applyNumberFormat="1" applyFont="1" applyBorder="1" applyProtection="1">
      <protection hidden="1"/>
    </xf>
    <xf numFmtId="0" fontId="33" fillId="0" borderId="24" xfId="0" applyNumberFormat="1" applyFont="1" applyBorder="1" applyProtection="1">
      <protection locked="0"/>
    </xf>
    <xf numFmtId="0" fontId="33" fillId="0" borderId="26" xfId="0" applyNumberFormat="1" applyFont="1" applyBorder="1" applyProtection="1">
      <protection locked="0"/>
    </xf>
    <xf numFmtId="0" fontId="33" fillId="0" borderId="22" xfId="0" applyNumberFormat="1" applyFont="1" applyBorder="1" applyProtection="1">
      <protection locked="0"/>
    </xf>
    <xf numFmtId="0" fontId="33" fillId="0" borderId="28" xfId="0" applyNumberFormat="1" applyFont="1" applyBorder="1" applyProtection="1">
      <protection locked="0"/>
    </xf>
    <xf numFmtId="0" fontId="26" fillId="0" borderId="22" xfId="45" applyNumberFormat="1" applyFont="1" applyBorder="1" applyProtection="1">
      <protection locked="0"/>
    </xf>
    <xf numFmtId="0" fontId="26" fillId="0" borderId="28" xfId="45" applyNumberFormat="1" applyFont="1" applyBorder="1" applyProtection="1">
      <protection locked="0"/>
    </xf>
    <xf numFmtId="0" fontId="38" fillId="0" borderId="13" xfId="45" quotePrefix="1" applyNumberFormat="1" applyFont="1" applyBorder="1" applyAlignment="1" applyProtection="1">
      <alignment horizontal="center"/>
      <protection locked="0"/>
    </xf>
    <xf numFmtId="0" fontId="71" fillId="0" borderId="0" xfId="45" applyNumberFormat="1" applyFont="1" applyProtection="1">
      <protection hidden="1"/>
    </xf>
    <xf numFmtId="0" fontId="1" fillId="0" borderId="0" xfId="45" applyNumberFormat="1" applyProtection="1">
      <protection hidden="1"/>
    </xf>
    <xf numFmtId="0" fontId="72" fillId="0" borderId="0" xfId="45" applyNumberFormat="1" applyFont="1" applyProtection="1">
      <protection hidden="1"/>
    </xf>
    <xf numFmtId="0" fontId="1" fillId="0" borderId="0" xfId="45" applyNumberFormat="1" applyAlignment="1" applyProtection="1">
      <alignment horizontal="right"/>
      <protection hidden="1"/>
    </xf>
    <xf numFmtId="0" fontId="22" fillId="0" borderId="0" xfId="45" applyNumberFormat="1" applyFont="1" applyProtection="1">
      <protection hidden="1"/>
    </xf>
    <xf numFmtId="0" fontId="23" fillId="0" borderId="0" xfId="45" applyNumberFormat="1" applyFont="1" applyProtection="1">
      <protection hidden="1"/>
    </xf>
    <xf numFmtId="0" fontId="23" fillId="0" borderId="0" xfId="45" applyNumberFormat="1" applyFont="1" applyAlignment="1" applyProtection="1">
      <alignment horizontal="center"/>
      <protection hidden="1"/>
    </xf>
    <xf numFmtId="0" fontId="1" fillId="0" borderId="23" xfId="45" applyNumberFormat="1" applyBorder="1" applyProtection="1">
      <protection hidden="1"/>
    </xf>
    <xf numFmtId="0" fontId="23" fillId="0" borderId="42" xfId="45" applyNumberFormat="1" applyFont="1" applyBorder="1" applyAlignment="1" applyProtection="1">
      <alignment horizontal="center"/>
      <protection hidden="1"/>
    </xf>
    <xf numFmtId="0" fontId="1" fillId="0" borderId="19" xfId="45" applyNumberFormat="1" applyBorder="1" applyAlignment="1" applyProtection="1">
      <alignment horizontal="center"/>
      <protection hidden="1"/>
    </xf>
    <xf numFmtId="0" fontId="1" fillId="0" borderId="25" xfId="45" applyNumberFormat="1" applyBorder="1" applyAlignment="1" applyProtection="1">
      <alignment horizontal="center"/>
      <protection hidden="1"/>
    </xf>
    <xf numFmtId="0" fontId="23" fillId="0" borderId="45" xfId="45" applyNumberFormat="1" applyFont="1" applyBorder="1" applyProtection="1">
      <protection hidden="1"/>
    </xf>
    <xf numFmtId="0" fontId="57" fillId="0" borderId="0" xfId="45" applyNumberFormat="1" applyFont="1" applyProtection="1">
      <protection hidden="1"/>
    </xf>
    <xf numFmtId="0" fontId="1" fillId="0" borderId="13" xfId="45" applyNumberFormat="1" applyBorder="1" applyAlignment="1" applyProtection="1">
      <alignment horizontal="center"/>
      <protection hidden="1"/>
    </xf>
    <xf numFmtId="0" fontId="1" fillId="0" borderId="13" xfId="45" applyNumberFormat="1" applyBorder="1" applyProtection="1">
      <protection locked="0"/>
    </xf>
    <xf numFmtId="0" fontId="82" fillId="0" borderId="13" xfId="45" applyNumberFormat="1" applyFont="1" applyBorder="1" applyProtection="1">
      <protection hidden="1"/>
    </xf>
    <xf numFmtId="0" fontId="82" fillId="0" borderId="0" xfId="45" applyNumberFormat="1" applyFont="1" applyProtection="1">
      <protection hidden="1"/>
    </xf>
    <xf numFmtId="0" fontId="24" fillId="0" borderId="0" xfId="45" applyNumberFormat="1" applyFont="1" applyProtection="1">
      <protection hidden="1"/>
    </xf>
    <xf numFmtId="0" fontId="23" fillId="0" borderId="43" xfId="45" applyNumberFormat="1" applyFont="1" applyBorder="1" applyProtection="1">
      <protection hidden="1"/>
    </xf>
    <xf numFmtId="0" fontId="1" fillId="0" borderId="14" xfId="45" applyNumberFormat="1" applyBorder="1" applyAlignment="1" applyProtection="1">
      <alignment horizontal="center"/>
      <protection hidden="1"/>
    </xf>
    <xf numFmtId="0" fontId="1" fillId="0" borderId="14" xfId="45" applyNumberFormat="1" applyBorder="1" applyProtection="1">
      <protection locked="0"/>
    </xf>
    <xf numFmtId="0" fontId="82" fillId="0" borderId="14" xfId="45" applyNumberFormat="1" applyFont="1" applyBorder="1" applyProtection="1">
      <protection hidden="1"/>
    </xf>
    <xf numFmtId="0" fontId="24" fillId="0" borderId="15" xfId="45" applyNumberFormat="1" applyFont="1" applyBorder="1" applyProtection="1">
      <protection hidden="1"/>
    </xf>
    <xf numFmtId="0" fontId="1" fillId="0" borderId="21" xfId="45" applyNumberFormat="1" applyBorder="1" applyAlignment="1" applyProtection="1">
      <alignment horizontal="center"/>
      <protection hidden="1"/>
    </xf>
    <xf numFmtId="0" fontId="1" fillId="0" borderId="21" xfId="45" applyNumberFormat="1" applyBorder="1" applyProtection="1">
      <protection locked="0"/>
    </xf>
    <xf numFmtId="0" fontId="82" fillId="0" borderId="21" xfId="45" applyNumberFormat="1" applyFont="1" applyBorder="1" applyProtection="1">
      <protection hidden="1"/>
    </xf>
    <xf numFmtId="0" fontId="24" fillId="0" borderId="23" xfId="45" applyNumberFormat="1" applyFont="1" applyBorder="1" applyProtection="1">
      <protection hidden="1"/>
    </xf>
    <xf numFmtId="0" fontId="82" fillId="0" borderId="66" xfId="45" applyNumberFormat="1" applyFont="1" applyBorder="1" applyProtection="1">
      <protection locked="0"/>
    </xf>
    <xf numFmtId="0" fontId="82" fillId="0" borderId="68" xfId="45" applyNumberFormat="1" applyFont="1" applyBorder="1" applyProtection="1">
      <protection locked="0"/>
    </xf>
    <xf numFmtId="0" fontId="82" fillId="0" borderId="69" xfId="45" applyNumberFormat="1" applyFont="1" applyBorder="1" applyProtection="1">
      <protection locked="0"/>
    </xf>
    <xf numFmtId="0" fontId="1" fillId="0" borderId="47" xfId="45" applyNumberFormat="1" applyBorder="1" applyProtection="1">
      <protection hidden="1"/>
    </xf>
    <xf numFmtId="0" fontId="24" fillId="0" borderId="47" xfId="45" applyNumberFormat="1" applyFont="1" applyBorder="1" applyProtection="1">
      <protection hidden="1"/>
    </xf>
    <xf numFmtId="0" fontId="1" fillId="0" borderId="48" xfId="45" applyNumberFormat="1" applyBorder="1" applyAlignment="1" applyProtection="1">
      <alignment horizontal="center"/>
      <protection hidden="1"/>
    </xf>
    <xf numFmtId="0" fontId="1" fillId="0" borderId="48" xfId="45" applyNumberFormat="1" applyBorder="1" applyProtection="1">
      <protection locked="0"/>
    </xf>
    <xf numFmtId="0" fontId="82" fillId="0" borderId="23" xfId="45" applyNumberFormat="1" applyFont="1" applyBorder="1" applyAlignment="1" applyProtection="1">
      <alignment horizontal="center"/>
      <protection hidden="1"/>
    </xf>
    <xf numFmtId="0" fontId="82" fillId="0" borderId="45" xfId="45" applyNumberFormat="1" applyFont="1" applyBorder="1" applyProtection="1">
      <protection locked="0"/>
    </xf>
    <xf numFmtId="0" fontId="82" fillId="0" borderId="17" xfId="45" applyNumberFormat="1" applyFont="1" applyBorder="1" applyProtection="1">
      <protection locked="0"/>
    </xf>
    <xf numFmtId="0" fontId="82" fillId="0" borderId="18" xfId="45" applyNumberFormat="1" applyFont="1" applyBorder="1" applyProtection="1">
      <protection locked="0"/>
    </xf>
    <xf numFmtId="0" fontId="82" fillId="0" borderId="25" xfId="45" applyNumberFormat="1" applyFont="1" applyBorder="1" applyAlignment="1" applyProtection="1">
      <alignment horizontal="center"/>
      <protection hidden="1"/>
    </xf>
    <xf numFmtId="0" fontId="22" fillId="0" borderId="23" xfId="45" applyNumberFormat="1" applyFont="1" applyFill="1" applyBorder="1" applyProtection="1">
      <protection hidden="1"/>
    </xf>
    <xf numFmtId="0" fontId="57" fillId="0" borderId="23" xfId="45" applyNumberFormat="1" applyFont="1" applyFill="1" applyBorder="1" applyProtection="1">
      <protection hidden="1"/>
    </xf>
    <xf numFmtId="0" fontId="23" fillId="0" borderId="23" xfId="45" applyNumberFormat="1" applyFont="1" applyFill="1" applyBorder="1" applyAlignment="1" applyProtection="1">
      <alignment horizontal="center"/>
      <protection hidden="1"/>
    </xf>
    <xf numFmtId="0" fontId="23" fillId="0" borderId="23" xfId="45" applyNumberFormat="1" applyFont="1" applyBorder="1" applyAlignment="1" applyProtection="1">
      <alignment horizontal="center"/>
      <protection hidden="1"/>
    </xf>
    <xf numFmtId="0" fontId="23" fillId="0" borderId="23" xfId="45" applyNumberFormat="1" applyFont="1" applyBorder="1" applyProtection="1">
      <protection hidden="1"/>
    </xf>
    <xf numFmtId="0" fontId="26" fillId="0" borderId="0" xfId="45" applyNumberFormat="1" applyFont="1" applyAlignment="1" applyProtection="1">
      <alignment horizontal="center"/>
      <protection hidden="1"/>
    </xf>
    <xf numFmtId="0" fontId="74" fillId="0" borderId="0" xfId="45" applyNumberFormat="1" applyFont="1" applyProtection="1">
      <protection hidden="1"/>
    </xf>
    <xf numFmtId="0" fontId="66" fillId="0" borderId="0" xfId="45" applyNumberFormat="1" applyFont="1" applyProtection="1">
      <protection hidden="1"/>
    </xf>
    <xf numFmtId="0" fontId="1" fillId="0" borderId="0" xfId="45" quotePrefix="1" applyNumberFormat="1" applyProtection="1">
      <protection hidden="1"/>
    </xf>
    <xf numFmtId="0" fontId="1" fillId="0" borderId="0" xfId="45" applyNumberFormat="1" applyFont="1" applyAlignment="1" applyProtection="1">
      <alignment horizontal="right" vertical="top"/>
      <protection hidden="1"/>
    </xf>
    <xf numFmtId="0" fontId="1" fillId="0" borderId="14" xfId="45" applyNumberFormat="1" applyFont="1" applyBorder="1" applyAlignment="1" applyProtection="1">
      <alignment vertical="top"/>
      <protection hidden="1"/>
    </xf>
    <xf numFmtId="0" fontId="23" fillId="0" borderId="0" xfId="45" applyNumberFormat="1" applyFont="1" applyAlignment="1" applyProtection="1">
      <protection hidden="1"/>
    </xf>
    <xf numFmtId="0" fontId="0" fillId="0" borderId="0" xfId="0" applyNumberFormat="1" applyAlignment="1" applyProtection="1">
      <alignment horizontal="left"/>
      <protection locked="0"/>
    </xf>
    <xf numFmtId="0" fontId="0" fillId="0" borderId="0" xfId="0" applyNumberFormat="1" applyProtection="1">
      <protection locked="0"/>
    </xf>
    <xf numFmtId="0" fontId="0" fillId="26" borderId="14" xfId="0" applyNumberFormat="1" applyFill="1" applyBorder="1" applyProtection="1">
      <protection locked="0"/>
    </xf>
    <xf numFmtId="0" fontId="0" fillId="0" borderId="0" xfId="0" applyNumberFormat="1" applyBorder="1" applyAlignment="1" applyProtection="1">
      <alignment horizontal="center"/>
      <protection locked="0"/>
    </xf>
    <xf numFmtId="0" fontId="28" fillId="0" borderId="0" xfId="0" applyNumberFormat="1" applyFont="1" applyBorder="1" applyAlignment="1" applyProtection="1">
      <alignment horizontal="center"/>
      <protection locked="0"/>
    </xf>
    <xf numFmtId="0" fontId="0" fillId="0" borderId="0" xfId="0" applyNumberFormat="1" applyBorder="1" applyProtection="1">
      <protection locked="0"/>
    </xf>
    <xf numFmtId="166" fontId="43" fillId="35" borderId="29" xfId="0" applyFont="1" applyFill="1" applyBorder="1" applyAlignment="1" applyProtection="1">
      <alignment vertical="top"/>
      <protection hidden="1"/>
    </xf>
    <xf numFmtId="166" fontId="43" fillId="35" borderId="24" xfId="0" applyFont="1" applyFill="1" applyBorder="1" applyAlignment="1" applyProtection="1">
      <alignment vertical="top"/>
      <protection hidden="1"/>
    </xf>
    <xf numFmtId="166" fontId="43" fillId="35" borderId="22" xfId="0" applyFont="1" applyFill="1" applyBorder="1" applyAlignment="1" applyProtection="1">
      <alignment vertical="top"/>
      <protection hidden="1"/>
    </xf>
    <xf numFmtId="0" fontId="21" fillId="0" borderId="14" xfId="43" applyNumberFormat="1" applyBorder="1" applyAlignment="1">
      <alignment vertical="center"/>
    </xf>
    <xf numFmtId="0" fontId="21" fillId="0" borderId="0" xfId="43" applyNumberFormat="1" applyAlignment="1">
      <alignment vertical="center"/>
    </xf>
    <xf numFmtId="0" fontId="21" fillId="0" borderId="0" xfId="43" applyNumberFormat="1"/>
    <xf numFmtId="0" fontId="21" fillId="0" borderId="14" xfId="43" applyNumberFormat="1" applyBorder="1"/>
    <xf numFmtId="0" fontId="26" fillId="0" borderId="0" xfId="43" applyNumberFormat="1" applyFont="1"/>
    <xf numFmtId="0" fontId="21" fillId="35" borderId="0" xfId="0" applyNumberFormat="1" applyFont="1" applyFill="1" applyBorder="1" applyAlignment="1" applyProtection="1">
      <protection hidden="1"/>
    </xf>
    <xf numFmtId="0" fontId="21" fillId="35" borderId="0" xfId="0" applyNumberFormat="1" applyFont="1" applyFill="1" applyBorder="1" applyProtection="1">
      <protection hidden="1"/>
    </xf>
    <xf numFmtId="0" fontId="21" fillId="0" borderId="0" xfId="0" applyNumberFormat="1" applyFont="1" applyProtection="1">
      <protection hidden="1"/>
    </xf>
    <xf numFmtId="0" fontId="0" fillId="26" borderId="0" xfId="0" applyNumberFormat="1" applyFill="1" applyAlignment="1" applyProtection="1">
      <alignment horizontal="center"/>
      <protection hidden="1"/>
    </xf>
    <xf numFmtId="0" fontId="0" fillId="36" borderId="14" xfId="0" applyNumberFormat="1" applyFill="1" applyBorder="1" applyAlignment="1" applyProtection="1">
      <alignment horizontal="center"/>
      <protection locked="0"/>
    </xf>
    <xf numFmtId="0" fontId="0" fillId="0" borderId="0" xfId="0" applyNumberFormat="1" applyAlignment="1" applyProtection="1">
      <alignment horizontal="center"/>
      <protection hidden="1"/>
    </xf>
    <xf numFmtId="166" fontId="43" fillId="30" borderId="0" xfId="0" applyFont="1" applyFill="1" applyBorder="1" applyAlignment="1" applyProtection="1">
      <alignment horizontal="left" vertical="top" wrapText="1"/>
      <protection hidden="1"/>
    </xf>
    <xf numFmtId="166" fontId="43" fillId="30" borderId="26" xfId="0" applyFont="1" applyFill="1" applyBorder="1" applyAlignment="1" applyProtection="1">
      <alignment horizontal="left" vertical="top" wrapText="1"/>
      <protection hidden="1"/>
    </xf>
    <xf numFmtId="166" fontId="43" fillId="30" borderId="11" xfId="0" applyFont="1" applyFill="1" applyBorder="1" applyAlignment="1" applyProtection="1">
      <alignment horizontal="left" vertical="top" wrapText="1"/>
      <protection hidden="1"/>
    </xf>
    <xf numFmtId="166" fontId="43" fillId="30" borderId="28" xfId="0" applyFont="1" applyFill="1" applyBorder="1" applyAlignment="1" applyProtection="1">
      <alignment horizontal="left" vertical="top" wrapText="1"/>
      <protection hidden="1"/>
    </xf>
    <xf numFmtId="166" fontId="43" fillId="30" borderId="0" xfId="0" applyFont="1" applyFill="1" applyBorder="1" applyAlignment="1" applyProtection="1">
      <alignment horizontal="left"/>
      <protection hidden="1"/>
    </xf>
    <xf numFmtId="166" fontId="55" fillId="30" borderId="0" xfId="0" applyFont="1" applyFill="1" applyAlignment="1" applyProtection="1">
      <alignment horizontal="center"/>
      <protection hidden="1"/>
    </xf>
    <xf numFmtId="166" fontId="99" fillId="30" borderId="0" xfId="0" applyFont="1" applyFill="1" applyBorder="1" applyAlignment="1" applyProtection="1">
      <alignment horizontal="left" vertical="top" wrapText="1"/>
      <protection hidden="1"/>
    </xf>
    <xf numFmtId="166" fontId="99" fillId="30" borderId="26" xfId="0" applyFont="1" applyFill="1" applyBorder="1" applyAlignment="1" applyProtection="1">
      <alignment horizontal="left" vertical="top" wrapText="1"/>
      <protection hidden="1"/>
    </xf>
    <xf numFmtId="0" fontId="48" fillId="30" borderId="0" xfId="0" applyNumberFormat="1" applyFont="1" applyFill="1" applyBorder="1" applyAlignment="1" applyProtection="1">
      <alignment horizontal="center"/>
      <protection hidden="1"/>
    </xf>
    <xf numFmtId="0" fontId="48" fillId="30" borderId="26" xfId="0" applyNumberFormat="1" applyFont="1" applyFill="1" applyBorder="1" applyAlignment="1" applyProtection="1">
      <alignment horizontal="center"/>
      <protection hidden="1"/>
    </xf>
    <xf numFmtId="0" fontId="43" fillId="30" borderId="11" xfId="0" applyNumberFormat="1" applyFont="1" applyFill="1" applyBorder="1" applyAlignment="1" applyProtection="1">
      <alignment horizontal="center"/>
      <protection hidden="1"/>
    </xf>
    <xf numFmtId="166" fontId="40" fillId="28" borderId="14" xfId="0" applyFont="1" applyFill="1" applyBorder="1" applyAlignment="1" applyProtection="1">
      <alignment horizontal="right"/>
      <protection hidden="1"/>
    </xf>
    <xf numFmtId="166" fontId="43" fillId="30" borderId="0" xfId="0" quotePrefix="1" applyFont="1" applyFill="1" applyAlignment="1" applyProtection="1">
      <alignment horizontal="left"/>
      <protection hidden="1"/>
    </xf>
    <xf numFmtId="0" fontId="93" fillId="30" borderId="11" xfId="0" applyNumberFormat="1" applyFont="1" applyFill="1" applyBorder="1" applyAlignment="1" applyProtection="1">
      <alignment horizontal="right"/>
      <protection hidden="1"/>
    </xf>
    <xf numFmtId="166" fontId="43" fillId="30" borderId="11" xfId="0" applyFont="1" applyFill="1" applyBorder="1" applyAlignment="1" applyProtection="1">
      <alignment horizontal="left"/>
      <protection hidden="1"/>
    </xf>
    <xf numFmtId="166" fontId="42" fillId="30" borderId="0" xfId="0" applyFont="1" applyFill="1" applyAlignment="1" applyProtection="1">
      <alignment horizontal="center"/>
      <protection hidden="1"/>
    </xf>
    <xf numFmtId="166" fontId="55" fillId="30" borderId="0" xfId="0" applyFont="1" applyFill="1" applyBorder="1" applyAlignment="1" applyProtection="1">
      <alignment horizontal="left" vertical="top" wrapText="1"/>
      <protection hidden="1"/>
    </xf>
    <xf numFmtId="166" fontId="55" fillId="30" borderId="26" xfId="0" applyFont="1" applyFill="1" applyBorder="1" applyAlignment="1" applyProtection="1">
      <alignment horizontal="left" vertical="top" wrapText="1"/>
      <protection hidden="1"/>
    </xf>
    <xf numFmtId="166" fontId="44" fillId="30" borderId="0" xfId="0" applyFont="1" applyFill="1" applyAlignment="1" applyProtection="1">
      <alignment horizontal="center" vertical="center"/>
      <protection hidden="1"/>
    </xf>
    <xf numFmtId="166" fontId="43" fillId="35" borderId="0" xfId="0" applyFont="1" applyFill="1" applyBorder="1" applyAlignment="1" applyProtection="1">
      <alignment horizontal="left" vertical="top" wrapText="1"/>
      <protection hidden="1"/>
    </xf>
    <xf numFmtId="166" fontId="43" fillId="35" borderId="26" xfId="0" applyFont="1" applyFill="1" applyBorder="1" applyAlignment="1" applyProtection="1">
      <alignment horizontal="left" vertical="top" wrapText="1"/>
      <protection hidden="1"/>
    </xf>
    <xf numFmtId="166" fontId="43" fillId="30" borderId="20" xfId="0" applyFont="1" applyFill="1" applyBorder="1" applyAlignment="1" applyProtection="1">
      <alignment horizontal="left"/>
      <protection hidden="1"/>
    </xf>
    <xf numFmtId="49" fontId="45" fillId="30" borderId="0" xfId="0" quotePrefix="1" applyNumberFormat="1" applyFont="1" applyFill="1" applyAlignment="1" applyProtection="1">
      <alignment horizontal="left" vertical="center"/>
      <protection hidden="1"/>
    </xf>
    <xf numFmtId="49" fontId="45" fillId="30" borderId="0" xfId="0" applyNumberFormat="1" applyFont="1" applyFill="1" applyAlignment="1" applyProtection="1">
      <alignment horizontal="left" vertical="center"/>
      <protection hidden="1"/>
    </xf>
    <xf numFmtId="167" fontId="44" fillId="30" borderId="11" xfId="0" applyNumberFormat="1" applyFont="1" applyFill="1" applyBorder="1" applyAlignment="1" applyProtection="1">
      <alignment horizontal="center"/>
      <protection hidden="1"/>
    </xf>
    <xf numFmtId="166" fontId="43" fillId="35" borderId="0" xfId="0" applyFont="1" applyFill="1" applyBorder="1" applyAlignment="1" applyProtection="1">
      <alignment horizontal="left"/>
      <protection hidden="1"/>
    </xf>
    <xf numFmtId="0" fontId="40" fillId="28" borderId="14" xfId="0" applyNumberFormat="1" applyFont="1" applyFill="1" applyBorder="1" applyAlignment="1" applyProtection="1">
      <alignment horizontal="right"/>
      <protection hidden="1"/>
    </xf>
    <xf numFmtId="166" fontId="69" fillId="30" borderId="12" xfId="0" applyFont="1" applyFill="1" applyBorder="1" applyAlignment="1" applyProtection="1">
      <alignment horizontal="left" vertical="top" wrapText="1"/>
      <protection hidden="1"/>
    </xf>
    <xf numFmtId="166" fontId="69" fillId="30" borderId="33" xfId="0" applyFont="1" applyFill="1" applyBorder="1" applyAlignment="1" applyProtection="1">
      <alignment horizontal="left" vertical="top" wrapText="1"/>
      <protection hidden="1"/>
    </xf>
    <xf numFmtId="0" fontId="43" fillId="30" borderId="20" xfId="0" applyNumberFormat="1" applyFont="1" applyFill="1" applyBorder="1" applyAlignment="1" applyProtection="1">
      <alignment horizontal="left"/>
      <protection hidden="1"/>
    </xf>
    <xf numFmtId="0" fontId="43" fillId="30" borderId="20" xfId="0" applyNumberFormat="1" applyFont="1" applyFill="1" applyBorder="1" applyAlignment="1" applyProtection="1">
      <alignment horizontal="center"/>
      <protection hidden="1"/>
    </xf>
    <xf numFmtId="0" fontId="43" fillId="30" borderId="0" xfId="0" applyNumberFormat="1" applyFont="1" applyFill="1" applyBorder="1" applyAlignment="1" applyProtection="1">
      <alignment horizontal="center"/>
      <protection hidden="1"/>
    </xf>
    <xf numFmtId="0" fontId="43" fillId="30" borderId="26" xfId="0" applyNumberFormat="1" applyFont="1" applyFill="1" applyBorder="1" applyAlignment="1" applyProtection="1">
      <alignment horizontal="center"/>
      <protection hidden="1"/>
    </xf>
    <xf numFmtId="166" fontId="43" fillId="30" borderId="11" xfId="0" applyFont="1" applyFill="1" applyBorder="1" applyAlignment="1" applyProtection="1">
      <alignment horizontal="center"/>
      <protection hidden="1"/>
    </xf>
    <xf numFmtId="166" fontId="43" fillId="30" borderId="28" xfId="0" applyFont="1" applyFill="1" applyBorder="1" applyAlignment="1" applyProtection="1">
      <alignment horizontal="center"/>
      <protection hidden="1"/>
    </xf>
    <xf numFmtId="1" fontId="43" fillId="30" borderId="12" xfId="0" applyNumberFormat="1" applyFont="1" applyFill="1" applyBorder="1" applyAlignment="1" applyProtection="1">
      <alignment horizontal="left" vertical="center"/>
      <protection hidden="1"/>
    </xf>
    <xf numFmtId="166" fontId="43" fillId="35" borderId="11" xfId="0" applyFont="1" applyFill="1" applyBorder="1" applyAlignment="1" applyProtection="1">
      <alignment horizontal="left" vertical="top" wrapText="1"/>
      <protection hidden="1"/>
    </xf>
    <xf numFmtId="166" fontId="43" fillId="35" borderId="28" xfId="0" applyFont="1" applyFill="1" applyBorder="1" applyAlignment="1" applyProtection="1">
      <alignment horizontal="left" vertical="top" wrapText="1"/>
      <protection hidden="1"/>
    </xf>
    <xf numFmtId="0" fontId="43" fillId="30" borderId="11" xfId="0" applyNumberFormat="1" applyFont="1" applyFill="1" applyBorder="1" applyAlignment="1" applyProtection="1">
      <alignment horizontal="left"/>
      <protection hidden="1"/>
    </xf>
    <xf numFmtId="166" fontId="43" fillId="35" borderId="11" xfId="0" applyFont="1" applyFill="1" applyBorder="1" applyAlignment="1" applyProtection="1">
      <alignment horizontal="left"/>
      <protection hidden="1"/>
    </xf>
    <xf numFmtId="166" fontId="43" fillId="35" borderId="0" xfId="0" applyFont="1" applyFill="1" applyAlignment="1" applyProtection="1">
      <alignment horizontal="left" vertical="top" wrapText="1"/>
      <protection hidden="1"/>
    </xf>
    <xf numFmtId="0" fontId="30" fillId="36" borderId="32" xfId="0" applyNumberFormat="1" applyFont="1" applyFill="1" applyBorder="1" applyAlignment="1" applyProtection="1">
      <alignment horizontal="left"/>
      <protection locked="0"/>
    </xf>
    <xf numFmtId="0" fontId="30" fillId="36" borderId="12" xfId="0" applyNumberFormat="1" applyFont="1" applyFill="1" applyBorder="1" applyAlignment="1" applyProtection="1">
      <alignment horizontal="left"/>
      <protection locked="0"/>
    </xf>
    <xf numFmtId="0" fontId="30" fillId="36" borderId="33" xfId="0" applyNumberFormat="1" applyFont="1" applyFill="1" applyBorder="1" applyAlignment="1" applyProtection="1">
      <alignment horizontal="left"/>
      <protection locked="0"/>
    </xf>
    <xf numFmtId="0" fontId="24" fillId="36" borderId="62" xfId="0" applyNumberFormat="1" applyFont="1" applyFill="1" applyBorder="1" applyAlignment="1" applyProtection="1">
      <alignment horizontal="center"/>
      <protection locked="0"/>
    </xf>
    <xf numFmtId="0" fontId="24" fillId="36" borderId="21" xfId="0" applyNumberFormat="1" applyFont="1" applyFill="1" applyBorder="1" applyAlignment="1" applyProtection="1">
      <alignment horizontal="center"/>
      <protection locked="0"/>
    </xf>
    <xf numFmtId="0" fontId="24" fillId="36" borderId="63" xfId="0" applyNumberFormat="1" applyFont="1" applyFill="1" applyBorder="1" applyAlignment="1" applyProtection="1">
      <alignment horizontal="center"/>
      <protection locked="0"/>
    </xf>
    <xf numFmtId="167" fontId="24" fillId="36" borderId="57" xfId="0" applyNumberFormat="1" applyFont="1" applyFill="1" applyBorder="1" applyAlignment="1" applyProtection="1">
      <alignment horizontal="center"/>
      <protection locked="0"/>
    </xf>
    <xf numFmtId="167" fontId="24" fillId="36" borderId="58" xfId="0" applyNumberFormat="1" applyFont="1" applyFill="1" applyBorder="1" applyAlignment="1" applyProtection="1">
      <alignment horizontal="center"/>
      <protection locked="0"/>
    </xf>
    <xf numFmtId="167" fontId="24" fillId="36" borderId="59" xfId="0" applyNumberFormat="1" applyFont="1" applyFill="1" applyBorder="1" applyAlignment="1" applyProtection="1">
      <alignment horizontal="center"/>
      <protection locked="0"/>
    </xf>
    <xf numFmtId="0" fontId="26" fillId="36" borderId="14" xfId="0" applyNumberFormat="1" applyFont="1" applyFill="1" applyBorder="1" applyAlignment="1" applyProtection="1">
      <alignment horizontal="left"/>
      <protection locked="0"/>
    </xf>
    <xf numFmtId="0" fontId="26" fillId="36" borderId="14" xfId="0" applyNumberFormat="1" applyFont="1" applyFill="1" applyBorder="1" applyAlignment="1" applyProtection="1">
      <alignment horizontal="center"/>
      <protection locked="0"/>
    </xf>
    <xf numFmtId="0" fontId="26" fillId="36" borderId="61" xfId="0" applyNumberFormat="1" applyFont="1" applyFill="1" applyBorder="1" applyAlignment="1" applyProtection="1">
      <alignment horizontal="center"/>
      <protection locked="0"/>
    </xf>
    <xf numFmtId="0" fontId="21" fillId="36" borderId="32" xfId="0" applyNumberFormat="1" applyFont="1" applyFill="1" applyBorder="1" applyAlignment="1" applyProtection="1">
      <alignment horizontal="left"/>
      <protection locked="0"/>
    </xf>
    <xf numFmtId="0" fontId="21" fillId="36" borderId="12" xfId="0" applyNumberFormat="1" applyFont="1" applyFill="1" applyBorder="1" applyAlignment="1" applyProtection="1">
      <alignment horizontal="left"/>
      <protection locked="0"/>
    </xf>
    <xf numFmtId="0" fontId="21" fillId="36" borderId="33" xfId="0" applyNumberFormat="1" applyFont="1" applyFill="1" applyBorder="1" applyAlignment="1" applyProtection="1">
      <alignment horizontal="left"/>
      <protection locked="0"/>
    </xf>
    <xf numFmtId="166" fontId="26" fillId="0" borderId="24" xfId="0" applyFont="1" applyBorder="1" applyAlignment="1" applyProtection="1">
      <alignment horizontal="left" vertical="top" wrapText="1"/>
      <protection hidden="1"/>
    </xf>
    <xf numFmtId="166" fontId="26" fillId="0" borderId="0" xfId="0" applyFont="1" applyBorder="1" applyAlignment="1" applyProtection="1">
      <alignment horizontal="left" vertical="top" wrapText="1"/>
      <protection hidden="1"/>
    </xf>
    <xf numFmtId="14" fontId="30" fillId="36" borderId="32" xfId="0" applyNumberFormat="1" applyFont="1" applyFill="1" applyBorder="1" applyAlignment="1" applyProtection="1">
      <alignment horizontal="left"/>
      <protection locked="0"/>
    </xf>
    <xf numFmtId="14" fontId="30" fillId="36" borderId="12" xfId="0" applyNumberFormat="1" applyFont="1" applyFill="1" applyBorder="1" applyAlignment="1" applyProtection="1">
      <alignment horizontal="left"/>
      <protection locked="0"/>
    </xf>
    <xf numFmtId="14" fontId="30" fillId="36" borderId="33" xfId="0" applyNumberFormat="1" applyFont="1" applyFill="1" applyBorder="1" applyAlignment="1" applyProtection="1">
      <alignment horizontal="left"/>
      <protection locked="0"/>
    </xf>
    <xf numFmtId="0" fontId="30" fillId="47" borderId="32" xfId="0" applyNumberFormat="1" applyFont="1" applyFill="1" applyBorder="1" applyAlignment="1" applyProtection="1">
      <alignment horizontal="left"/>
      <protection locked="0"/>
    </xf>
    <xf numFmtId="0" fontId="30" fillId="47" borderId="12" xfId="0" applyNumberFormat="1" applyFont="1" applyFill="1" applyBorder="1" applyAlignment="1" applyProtection="1">
      <alignment horizontal="left"/>
      <protection locked="0"/>
    </xf>
    <xf numFmtId="0" fontId="30" fillId="47" borderId="33" xfId="0" applyNumberFormat="1" applyFont="1" applyFill="1" applyBorder="1" applyAlignment="1" applyProtection="1">
      <alignment horizontal="left"/>
      <protection locked="0"/>
    </xf>
    <xf numFmtId="0" fontId="26" fillId="36" borderId="60" xfId="0" applyNumberFormat="1" applyFont="1" applyFill="1" applyBorder="1" applyAlignment="1" applyProtection="1">
      <alignment horizontal="left"/>
      <protection locked="0"/>
    </xf>
    <xf numFmtId="0" fontId="30" fillId="34" borderId="32" xfId="0" applyNumberFormat="1" applyFont="1" applyFill="1" applyBorder="1" applyAlignment="1" applyProtection="1">
      <alignment horizontal="left"/>
      <protection locked="0"/>
    </xf>
    <xf numFmtId="0" fontId="30" fillId="34" borderId="12" xfId="0" applyNumberFormat="1" applyFont="1" applyFill="1" applyBorder="1" applyAlignment="1" applyProtection="1">
      <alignment horizontal="left"/>
      <protection locked="0"/>
    </xf>
    <xf numFmtId="0" fontId="30" fillId="34" borderId="33" xfId="0" applyNumberFormat="1" applyFont="1" applyFill="1" applyBorder="1" applyAlignment="1" applyProtection="1">
      <alignment horizontal="left"/>
      <protection locked="0"/>
    </xf>
    <xf numFmtId="166" fontId="21" fillId="35" borderId="20" xfId="0" applyFont="1" applyFill="1" applyBorder="1" applyAlignment="1" applyProtection="1">
      <alignment horizontal="center" wrapText="1"/>
      <protection hidden="1"/>
    </xf>
    <xf numFmtId="166" fontId="21" fillId="35" borderId="30" xfId="0" applyFont="1" applyFill="1" applyBorder="1" applyAlignment="1" applyProtection="1">
      <alignment horizontal="center" wrapText="1"/>
      <protection hidden="1"/>
    </xf>
    <xf numFmtId="166" fontId="21" fillId="35" borderId="11" xfId="0" applyFont="1" applyFill="1" applyBorder="1" applyAlignment="1" applyProtection="1">
      <alignment horizontal="center" wrapText="1"/>
      <protection hidden="1"/>
    </xf>
    <xf numFmtId="166" fontId="21" fillId="35" borderId="28" xfId="0" applyFont="1" applyFill="1" applyBorder="1" applyAlignment="1" applyProtection="1">
      <alignment horizontal="center" wrapText="1"/>
      <protection hidden="1"/>
    </xf>
    <xf numFmtId="166" fontId="30" fillId="47" borderId="14" xfId="0" applyFont="1" applyFill="1" applyBorder="1" applyAlignment="1" applyProtection="1">
      <alignment horizontal="left"/>
      <protection locked="0"/>
    </xf>
    <xf numFmtId="166" fontId="30" fillId="36" borderId="32" xfId="0" applyFont="1" applyFill="1" applyBorder="1" applyAlignment="1" applyProtection="1">
      <alignment horizontal="left"/>
      <protection locked="0"/>
    </xf>
    <xf numFmtId="166" fontId="30" fillId="36" borderId="12" xfId="0" applyFont="1" applyFill="1" applyBorder="1" applyAlignment="1" applyProtection="1">
      <alignment horizontal="left"/>
      <protection locked="0"/>
    </xf>
    <xf numFmtId="166" fontId="30" fillId="36" borderId="33" xfId="0" applyFont="1" applyFill="1" applyBorder="1" applyAlignment="1" applyProtection="1">
      <alignment horizontal="left"/>
      <protection locked="0"/>
    </xf>
    <xf numFmtId="0" fontId="30" fillId="47" borderId="21" xfId="0" applyNumberFormat="1" applyFont="1" applyFill="1" applyBorder="1" applyAlignment="1" applyProtection="1">
      <alignment horizontal="left"/>
      <protection locked="0"/>
    </xf>
    <xf numFmtId="166" fontId="30" fillId="37" borderId="21" xfId="0" applyFont="1" applyFill="1" applyBorder="1" applyAlignment="1" applyProtection="1">
      <alignment horizontal="left"/>
      <protection hidden="1"/>
    </xf>
    <xf numFmtId="166" fontId="26" fillId="35" borderId="24" xfId="0" applyFont="1" applyFill="1" applyBorder="1" applyAlignment="1" applyProtection="1">
      <alignment horizontal="left"/>
      <protection hidden="1"/>
    </xf>
    <xf numFmtId="166" fontId="26" fillId="35" borderId="0" xfId="0" applyFont="1" applyFill="1" applyBorder="1" applyAlignment="1" applyProtection="1">
      <alignment horizontal="left"/>
      <protection hidden="1"/>
    </xf>
    <xf numFmtId="166" fontId="26" fillId="35" borderId="26" xfId="0" applyFont="1" applyFill="1" applyBorder="1" applyAlignment="1" applyProtection="1">
      <alignment horizontal="left"/>
      <protection hidden="1"/>
    </xf>
    <xf numFmtId="166" fontId="24" fillId="47" borderId="14" xfId="0" applyFont="1" applyFill="1" applyBorder="1" applyAlignment="1" applyProtection="1">
      <alignment horizontal="left"/>
      <protection locked="0"/>
    </xf>
    <xf numFmtId="0" fontId="30" fillId="47" borderId="14" xfId="0" applyNumberFormat="1" applyFont="1" applyFill="1" applyBorder="1" applyAlignment="1" applyProtection="1">
      <alignment horizontal="left"/>
      <protection locked="0"/>
    </xf>
    <xf numFmtId="0" fontId="30" fillId="36" borderId="22" xfId="0" applyNumberFormat="1" applyFont="1" applyFill="1" applyBorder="1" applyAlignment="1" applyProtection="1">
      <alignment horizontal="left"/>
      <protection locked="0"/>
    </xf>
    <xf numFmtId="0" fontId="30" fillId="36" borderId="11" xfId="0" applyNumberFormat="1" applyFont="1" applyFill="1" applyBorder="1" applyAlignment="1" applyProtection="1">
      <alignment horizontal="left"/>
      <protection locked="0"/>
    </xf>
    <xf numFmtId="0" fontId="30" fillId="36" borderId="28" xfId="0" applyNumberFormat="1" applyFont="1" applyFill="1" applyBorder="1" applyAlignment="1" applyProtection="1">
      <alignment horizontal="left"/>
      <protection locked="0"/>
    </xf>
    <xf numFmtId="165" fontId="21" fillId="35" borderId="0" xfId="0" applyNumberFormat="1" applyFont="1" applyFill="1" applyBorder="1" applyAlignment="1" applyProtection="1">
      <alignment horizontal="center"/>
      <protection hidden="1"/>
    </xf>
    <xf numFmtId="166" fontId="21" fillId="35" borderId="0" xfId="0" applyFont="1" applyFill="1" applyBorder="1" applyAlignment="1" applyProtection="1">
      <alignment horizontal="center"/>
      <protection hidden="1"/>
    </xf>
    <xf numFmtId="165" fontId="1" fillId="36" borderId="0" xfId="0" applyNumberFormat="1" applyFont="1" applyFill="1" applyBorder="1" applyAlignment="1" applyProtection="1">
      <alignment horizontal="center"/>
      <protection hidden="1"/>
    </xf>
    <xf numFmtId="166" fontId="24" fillId="36" borderId="0" xfId="0" applyNumberFormat="1" applyFont="1" applyFill="1" applyBorder="1" applyAlignment="1" applyProtection="1">
      <alignment horizontal="left"/>
      <protection hidden="1"/>
    </xf>
    <xf numFmtId="166" fontId="21" fillId="36" borderId="0" xfId="0" applyFont="1" applyFill="1" applyBorder="1" applyAlignment="1" applyProtection="1">
      <alignment horizontal="center"/>
      <protection hidden="1"/>
    </xf>
    <xf numFmtId="166" fontId="27" fillId="36" borderId="0" xfId="0" applyFont="1" applyFill="1" applyBorder="1" applyAlignment="1" applyProtection="1">
      <alignment horizontal="center"/>
      <protection hidden="1"/>
    </xf>
    <xf numFmtId="0" fontId="21" fillId="35" borderId="0" xfId="0" applyNumberFormat="1" applyFont="1" applyFill="1" applyBorder="1" applyAlignment="1" applyProtection="1">
      <alignment horizontal="center"/>
      <protection hidden="1"/>
    </xf>
    <xf numFmtId="166" fontId="25" fillId="30" borderId="32" xfId="0" applyFont="1" applyFill="1" applyBorder="1" applyAlignment="1" applyProtection="1">
      <alignment horizontal="right"/>
      <protection hidden="1"/>
    </xf>
    <xf numFmtId="166" fontId="25" fillId="30" borderId="12" xfId="0" applyFont="1" applyFill="1" applyBorder="1" applyAlignment="1" applyProtection="1">
      <alignment horizontal="right"/>
      <protection hidden="1"/>
    </xf>
    <xf numFmtId="166" fontId="25" fillId="30" borderId="12" xfId="0" applyFont="1" applyFill="1" applyBorder="1" applyAlignment="1" applyProtection="1">
      <alignment horizontal="left"/>
      <protection hidden="1"/>
    </xf>
    <xf numFmtId="166" fontId="25" fillId="30" borderId="33" xfId="0" applyFont="1" applyFill="1" applyBorder="1" applyAlignment="1" applyProtection="1">
      <alignment horizontal="left"/>
      <protection hidden="1"/>
    </xf>
    <xf numFmtId="166" fontId="25" fillId="35" borderId="20" xfId="0" applyFont="1" applyFill="1" applyBorder="1" applyAlignment="1" applyProtection="1">
      <alignment horizontal="center"/>
      <protection hidden="1"/>
    </xf>
    <xf numFmtId="166" fontId="26" fillId="35" borderId="20" xfId="0" applyFont="1" applyFill="1" applyBorder="1" applyAlignment="1" applyProtection="1">
      <alignment horizontal="center"/>
      <protection hidden="1"/>
    </xf>
    <xf numFmtId="166" fontId="26" fillId="35" borderId="22" xfId="0" applyFont="1" applyFill="1" applyBorder="1" applyAlignment="1" applyProtection="1">
      <alignment horizontal="center" vertical="center"/>
      <protection hidden="1"/>
    </xf>
    <xf numFmtId="166" fontId="26" fillId="35" borderId="11" xfId="0" applyFont="1" applyFill="1" applyBorder="1" applyAlignment="1" applyProtection="1">
      <alignment horizontal="center" vertical="center"/>
      <protection hidden="1"/>
    </xf>
    <xf numFmtId="166" fontId="26" fillId="35" borderId="20" xfId="0" applyFont="1" applyFill="1" applyBorder="1" applyAlignment="1" applyProtection="1">
      <protection hidden="1"/>
    </xf>
    <xf numFmtId="166" fontId="26" fillId="35" borderId="30" xfId="0" applyFont="1" applyFill="1" applyBorder="1" applyAlignment="1" applyProtection="1">
      <protection hidden="1"/>
    </xf>
    <xf numFmtId="166" fontId="67" fillId="35" borderId="29" xfId="0" applyFont="1" applyFill="1" applyBorder="1" applyAlignment="1" applyProtection="1">
      <alignment horizontal="center"/>
      <protection hidden="1"/>
    </xf>
    <xf numFmtId="166" fontId="67" fillId="35" borderId="20" xfId="0" applyFont="1" applyFill="1" applyBorder="1" applyAlignment="1" applyProtection="1">
      <alignment horizontal="center"/>
      <protection hidden="1"/>
    </xf>
    <xf numFmtId="166" fontId="67" fillId="35" borderId="0" xfId="0" applyFont="1" applyFill="1" applyBorder="1" applyAlignment="1" applyProtection="1">
      <alignment horizontal="center"/>
      <protection hidden="1"/>
    </xf>
    <xf numFmtId="2" fontId="24" fillId="36" borderId="20" xfId="0" applyNumberFormat="1" applyFont="1" applyFill="1" applyBorder="1" applyAlignment="1" applyProtection="1">
      <alignment horizontal="center"/>
      <protection hidden="1"/>
    </xf>
    <xf numFmtId="2" fontId="24" fillId="36" borderId="11" xfId="0" applyNumberFormat="1" applyFont="1" applyFill="1" applyBorder="1" applyAlignment="1" applyProtection="1">
      <alignment horizontal="center"/>
      <protection hidden="1"/>
    </xf>
    <xf numFmtId="166" fontId="56" fillId="35" borderId="11" xfId="0" applyFont="1" applyFill="1" applyBorder="1" applyAlignment="1" applyProtection="1">
      <alignment horizontal="center" vertical="center"/>
      <protection hidden="1"/>
    </xf>
    <xf numFmtId="166" fontId="21" fillId="30" borderId="37" xfId="0" applyFont="1" applyFill="1" applyBorder="1" applyAlignment="1" applyProtection="1">
      <alignment horizontal="left"/>
      <protection hidden="1"/>
    </xf>
    <xf numFmtId="165" fontId="24" fillId="36" borderId="20" xfId="0" applyNumberFormat="1" applyFont="1" applyFill="1" applyBorder="1" applyAlignment="1" applyProtection="1">
      <alignment horizontal="center"/>
      <protection hidden="1"/>
    </xf>
    <xf numFmtId="165" fontId="24" fillId="36" borderId="30" xfId="0" applyNumberFormat="1" applyFont="1" applyFill="1" applyBorder="1" applyAlignment="1" applyProtection="1">
      <alignment horizontal="center"/>
      <protection hidden="1"/>
    </xf>
    <xf numFmtId="166" fontId="24" fillId="36" borderId="11" xfId="0" quotePrefix="1" applyFont="1" applyFill="1" applyBorder="1" applyAlignment="1" applyProtection="1">
      <alignment horizontal="center"/>
      <protection hidden="1"/>
    </xf>
    <xf numFmtId="166" fontId="24" fillId="36" borderId="28" xfId="0" quotePrefix="1" applyFont="1" applyFill="1" applyBorder="1" applyAlignment="1" applyProtection="1">
      <alignment horizontal="center"/>
      <protection hidden="1"/>
    </xf>
    <xf numFmtId="166" fontId="91" fillId="42" borderId="32" xfId="0" applyFont="1" applyFill="1" applyBorder="1" applyAlignment="1" applyProtection="1">
      <alignment horizontal="center"/>
      <protection locked="0"/>
    </xf>
    <xf numFmtId="166" fontId="91" fillId="42" borderId="33" xfId="0" applyFont="1" applyFill="1" applyBorder="1" applyAlignment="1" applyProtection="1">
      <alignment horizontal="center"/>
      <protection locked="0"/>
    </xf>
    <xf numFmtId="166" fontId="20" fillId="30" borderId="20" xfId="0" applyFont="1" applyFill="1" applyBorder="1" applyAlignment="1" applyProtection="1">
      <protection hidden="1"/>
    </xf>
    <xf numFmtId="166" fontId="21" fillId="35" borderId="11" xfId="0" applyFont="1" applyFill="1" applyBorder="1" applyAlignment="1" applyProtection="1">
      <alignment horizontal="center"/>
      <protection hidden="1"/>
    </xf>
    <xf numFmtId="166" fontId="21" fillId="30" borderId="36" xfId="0" applyFont="1" applyFill="1" applyBorder="1" applyAlignment="1" applyProtection="1">
      <protection hidden="1"/>
    </xf>
    <xf numFmtId="166" fontId="21" fillId="30" borderId="37" xfId="0" applyFont="1" applyFill="1" applyBorder="1" applyAlignment="1" applyProtection="1">
      <protection hidden="1"/>
    </xf>
    <xf numFmtId="166" fontId="20" fillId="30" borderId="20" xfId="0" applyFont="1" applyFill="1" applyBorder="1" applyAlignment="1" applyProtection="1">
      <alignment horizontal="right"/>
      <protection hidden="1"/>
    </xf>
    <xf numFmtId="166" fontId="20" fillId="30" borderId="0" xfId="0" applyFont="1" applyFill="1" applyBorder="1" applyAlignment="1" applyProtection="1">
      <alignment horizontal="right"/>
      <protection hidden="1"/>
    </xf>
    <xf numFmtId="166" fontId="20" fillId="30" borderId="30" xfId="0" applyFont="1" applyFill="1" applyBorder="1" applyAlignment="1" applyProtection="1">
      <alignment horizontal="right"/>
      <protection hidden="1"/>
    </xf>
    <xf numFmtId="166" fontId="21" fillId="35" borderId="0" xfId="0" applyNumberFormat="1" applyFont="1" applyFill="1" applyBorder="1" applyAlignment="1" applyProtection="1">
      <alignment horizontal="center"/>
      <protection hidden="1"/>
    </xf>
    <xf numFmtId="165" fontId="21" fillId="35" borderId="26" xfId="0" applyNumberFormat="1" applyFont="1" applyFill="1" applyBorder="1" applyAlignment="1" applyProtection="1">
      <alignment horizontal="center"/>
      <protection hidden="1"/>
    </xf>
    <xf numFmtId="0" fontId="1" fillId="30" borderId="0" xfId="0" applyNumberFormat="1" applyFont="1" applyFill="1" applyBorder="1" applyAlignment="1" applyProtection="1">
      <alignment horizontal="right"/>
      <protection hidden="1"/>
    </xf>
    <xf numFmtId="0" fontId="1" fillId="30" borderId="26" xfId="0" applyNumberFormat="1" applyFont="1" applyFill="1" applyBorder="1" applyAlignment="1" applyProtection="1">
      <alignment horizontal="right"/>
      <protection hidden="1"/>
    </xf>
    <xf numFmtId="165" fontId="26" fillId="35" borderId="0" xfId="0" applyNumberFormat="1" applyFont="1" applyFill="1" applyBorder="1" applyAlignment="1" applyProtection="1">
      <alignment horizontal="center"/>
      <protection hidden="1"/>
    </xf>
    <xf numFmtId="165" fontId="21" fillId="36" borderId="0" xfId="0" applyNumberFormat="1" applyFont="1" applyFill="1" applyBorder="1" applyAlignment="1" applyProtection="1">
      <alignment horizontal="center"/>
      <protection hidden="1"/>
    </xf>
    <xf numFmtId="166" fontId="24" fillId="35" borderId="20" xfId="0" applyFont="1" applyFill="1" applyBorder="1" applyAlignment="1" applyProtection="1">
      <alignment horizontal="center"/>
      <protection hidden="1"/>
    </xf>
    <xf numFmtId="166" fontId="21" fillId="36" borderId="0" xfId="0" applyNumberFormat="1" applyFont="1" applyFill="1" applyBorder="1" applyAlignment="1" applyProtection="1">
      <alignment horizontal="left"/>
      <protection hidden="1"/>
    </xf>
    <xf numFmtId="166" fontId="27" fillId="36" borderId="0" xfId="0" applyFont="1" applyFill="1" applyBorder="1" applyAlignment="1" applyProtection="1">
      <alignment horizontal="right"/>
      <protection hidden="1"/>
    </xf>
    <xf numFmtId="165" fontId="24" fillId="35" borderId="20" xfId="0" applyNumberFormat="1" applyFont="1" applyFill="1" applyBorder="1" applyAlignment="1" applyProtection="1">
      <alignment horizontal="left"/>
      <protection hidden="1"/>
    </xf>
    <xf numFmtId="49" fontId="22" fillId="30" borderId="0" xfId="0" applyNumberFormat="1" applyFont="1" applyFill="1" applyBorder="1" applyAlignment="1" applyProtection="1">
      <alignment horizontal="right"/>
      <protection hidden="1"/>
    </xf>
    <xf numFmtId="49" fontId="22" fillId="30" borderId="26" xfId="0" applyNumberFormat="1" applyFont="1" applyFill="1" applyBorder="1" applyAlignment="1" applyProtection="1">
      <alignment horizontal="right"/>
      <protection hidden="1"/>
    </xf>
    <xf numFmtId="166" fontId="0" fillId="35" borderId="22" xfId="0" applyFill="1" applyBorder="1" applyAlignment="1" applyProtection="1">
      <alignment horizontal="left"/>
      <protection hidden="1"/>
    </xf>
    <xf numFmtId="166" fontId="0" fillId="35" borderId="11" xfId="0" applyFill="1" applyBorder="1" applyAlignment="1" applyProtection="1">
      <alignment horizontal="left"/>
      <protection hidden="1"/>
    </xf>
    <xf numFmtId="166" fontId="0" fillId="35" borderId="28" xfId="0" applyFill="1" applyBorder="1" applyAlignment="1" applyProtection="1">
      <alignment horizontal="left"/>
      <protection hidden="1"/>
    </xf>
    <xf numFmtId="166" fontId="24" fillId="37" borderId="14" xfId="0" applyFont="1" applyFill="1" applyBorder="1" applyAlignment="1" applyProtection="1">
      <alignment horizontal="left"/>
      <protection hidden="1"/>
    </xf>
    <xf numFmtId="166" fontId="28" fillId="37" borderId="14" xfId="0" applyFont="1" applyFill="1" applyBorder="1" applyAlignment="1" applyProtection="1">
      <alignment horizontal="left"/>
      <protection hidden="1"/>
    </xf>
    <xf numFmtId="0" fontId="30" fillId="0" borderId="20" xfId="0" applyNumberFormat="1" applyFont="1" applyBorder="1" applyAlignment="1" applyProtection="1">
      <alignment horizontal="left" vertical="top" wrapText="1"/>
      <protection locked="0"/>
    </xf>
    <xf numFmtId="0" fontId="30" fillId="0" borderId="0" xfId="0" applyNumberFormat="1" applyFont="1" applyBorder="1" applyAlignment="1" applyProtection="1">
      <alignment horizontal="left" vertical="top" wrapText="1"/>
      <protection locked="0"/>
    </xf>
    <xf numFmtId="0" fontId="32" fillId="28" borderId="14" xfId="0" applyNumberFormat="1" applyFont="1" applyFill="1" applyBorder="1" applyAlignment="1" applyProtection="1">
      <alignment horizontal="center"/>
      <protection locked="0"/>
    </xf>
    <xf numFmtId="0" fontId="30" fillId="31" borderId="32" xfId="0" applyNumberFormat="1" applyFont="1" applyFill="1" applyBorder="1" applyAlignment="1" applyProtection="1">
      <alignment horizontal="center"/>
      <protection locked="0"/>
    </xf>
    <xf numFmtId="0" fontId="30" fillId="31" borderId="12" xfId="0" applyNumberFormat="1" applyFont="1" applyFill="1" applyBorder="1" applyAlignment="1" applyProtection="1">
      <alignment horizontal="center"/>
      <protection locked="0"/>
    </xf>
    <xf numFmtId="0" fontId="30" fillId="31" borderId="33" xfId="0" applyNumberFormat="1" applyFont="1" applyFill="1" applyBorder="1" applyAlignment="1" applyProtection="1">
      <alignment horizontal="center"/>
      <protection locked="0"/>
    </xf>
    <xf numFmtId="0" fontId="30" fillId="31" borderId="29" xfId="0" applyNumberFormat="1" applyFont="1" applyFill="1" applyBorder="1" applyAlignment="1" applyProtection="1">
      <alignment horizontal="center"/>
      <protection locked="0"/>
    </xf>
    <xf numFmtId="0" fontId="30" fillId="31" borderId="20" xfId="0" applyNumberFormat="1" applyFont="1" applyFill="1" applyBorder="1" applyAlignment="1" applyProtection="1">
      <alignment horizontal="center"/>
      <protection locked="0"/>
    </xf>
    <xf numFmtId="0" fontId="30" fillId="31" borderId="30" xfId="0" applyNumberFormat="1" applyFont="1" applyFill="1" applyBorder="1" applyAlignment="1" applyProtection="1">
      <alignment horizontal="center"/>
      <protection locked="0"/>
    </xf>
    <xf numFmtId="0" fontId="30" fillId="0" borderId="32" xfId="0" applyNumberFormat="1" applyFont="1" applyBorder="1" applyAlignment="1" applyProtection="1">
      <alignment horizontal="center"/>
      <protection locked="0"/>
    </xf>
    <xf numFmtId="0" fontId="30" fillId="0" borderId="33" xfId="0" applyNumberFormat="1" applyFont="1" applyBorder="1" applyAlignment="1" applyProtection="1">
      <alignment horizontal="center"/>
      <protection locked="0"/>
    </xf>
    <xf numFmtId="0" fontId="30" fillId="0" borderId="12" xfId="0" applyNumberFormat="1" applyFont="1" applyBorder="1" applyAlignment="1" applyProtection="1">
      <alignment horizontal="center"/>
      <protection locked="0"/>
    </xf>
    <xf numFmtId="0" fontId="30" fillId="0" borderId="14" xfId="0" applyNumberFormat="1" applyFont="1" applyBorder="1" applyAlignment="1" applyProtection="1">
      <alignment horizontal="center"/>
      <protection locked="0"/>
    </xf>
    <xf numFmtId="49" fontId="30" fillId="0" borderId="32" xfId="0" applyNumberFormat="1" applyFont="1" applyBorder="1" applyAlignment="1" applyProtection="1">
      <alignment horizontal="center"/>
      <protection locked="0"/>
    </xf>
    <xf numFmtId="49" fontId="30" fillId="0" borderId="12" xfId="0" applyNumberFormat="1" applyFont="1" applyBorder="1" applyAlignment="1" applyProtection="1">
      <alignment horizontal="center"/>
      <protection locked="0"/>
    </xf>
    <xf numFmtId="49" fontId="30" fillId="0" borderId="33" xfId="0" applyNumberFormat="1" applyFont="1" applyBorder="1" applyAlignment="1" applyProtection="1">
      <alignment horizontal="center"/>
      <protection locked="0"/>
    </xf>
    <xf numFmtId="0" fontId="1" fillId="0" borderId="32" xfId="0" applyNumberFormat="1" applyFont="1" applyFill="1" applyBorder="1" applyAlignment="1" applyProtection="1">
      <alignment horizontal="center"/>
      <protection locked="0"/>
    </xf>
    <xf numFmtId="0" fontId="1" fillId="0" borderId="12" xfId="0" applyNumberFormat="1" applyFont="1" applyFill="1" applyBorder="1" applyAlignment="1" applyProtection="1">
      <alignment horizontal="center"/>
      <protection locked="0"/>
    </xf>
    <xf numFmtId="0" fontId="1" fillId="0" borderId="33" xfId="0" applyNumberFormat="1" applyFont="1" applyFill="1" applyBorder="1" applyAlignment="1" applyProtection="1">
      <alignment horizontal="center"/>
      <protection locked="0"/>
    </xf>
    <xf numFmtId="0" fontId="1" fillId="31" borderId="32" xfId="0" applyNumberFormat="1" applyFont="1" applyFill="1" applyBorder="1" applyAlignment="1" applyProtection="1">
      <alignment horizontal="left"/>
      <protection locked="0"/>
    </xf>
    <xf numFmtId="0" fontId="1" fillId="31" borderId="12" xfId="0" applyNumberFormat="1" applyFont="1" applyFill="1" applyBorder="1" applyAlignment="1" applyProtection="1">
      <alignment horizontal="left"/>
      <protection locked="0"/>
    </xf>
    <xf numFmtId="0" fontId="1" fillId="31" borderId="33" xfId="0" applyNumberFormat="1" applyFont="1" applyFill="1" applyBorder="1" applyAlignment="1" applyProtection="1">
      <alignment horizontal="left"/>
      <protection locked="0"/>
    </xf>
    <xf numFmtId="0" fontId="30" fillId="0" borderId="32" xfId="0" applyNumberFormat="1" applyFont="1" applyFill="1" applyBorder="1" applyAlignment="1" applyProtection="1">
      <alignment horizontal="center"/>
      <protection locked="0"/>
    </xf>
    <xf numFmtId="0" fontId="30" fillId="0" borderId="12" xfId="0" applyNumberFormat="1" applyFont="1" applyFill="1" applyBorder="1" applyAlignment="1" applyProtection="1">
      <alignment horizontal="center"/>
      <protection locked="0"/>
    </xf>
    <xf numFmtId="0" fontId="30" fillId="0" borderId="33" xfId="0" applyNumberFormat="1" applyFont="1" applyFill="1" applyBorder="1" applyAlignment="1" applyProtection="1">
      <alignment horizontal="center"/>
      <protection locked="0"/>
    </xf>
    <xf numFmtId="0" fontId="38" fillId="34" borderId="39" xfId="0" applyNumberFormat="1" applyFont="1" applyFill="1" applyBorder="1" applyAlignment="1" applyProtection="1">
      <alignment horizontal="center"/>
      <protection locked="0"/>
    </xf>
    <xf numFmtId="0" fontId="38" fillId="34" borderId="27" xfId="0" applyNumberFormat="1" applyFont="1" applyFill="1" applyBorder="1" applyAlignment="1" applyProtection="1">
      <alignment horizontal="center"/>
      <protection locked="0"/>
    </xf>
    <xf numFmtId="0" fontId="38" fillId="34" borderId="40" xfId="0" applyNumberFormat="1" applyFont="1" applyFill="1" applyBorder="1" applyAlignment="1" applyProtection="1">
      <alignment horizontal="center"/>
      <protection locked="0"/>
    </xf>
    <xf numFmtId="14" fontId="30" fillId="0" borderId="34" xfId="0" applyNumberFormat="1" applyFont="1" applyBorder="1" applyAlignment="1" applyProtection="1">
      <alignment horizontal="center"/>
      <protection locked="0"/>
    </xf>
    <xf numFmtId="14" fontId="30" fillId="0" borderId="35" xfId="0" applyNumberFormat="1" applyFont="1" applyBorder="1" applyAlignment="1" applyProtection="1">
      <alignment horizontal="center"/>
      <protection locked="0"/>
    </xf>
    <xf numFmtId="14" fontId="30" fillId="0" borderId="38" xfId="0" applyNumberFormat="1" applyFont="1" applyBorder="1" applyAlignment="1" applyProtection="1">
      <alignment horizontal="center"/>
      <protection locked="0"/>
    </xf>
    <xf numFmtId="170" fontId="30" fillId="0" borderId="32" xfId="0" applyNumberFormat="1" applyFont="1" applyBorder="1" applyAlignment="1" applyProtection="1">
      <alignment horizontal="center"/>
      <protection locked="0"/>
    </xf>
    <xf numFmtId="170" fontId="30" fillId="0" borderId="33" xfId="0" applyNumberFormat="1" applyFont="1" applyBorder="1" applyAlignment="1" applyProtection="1">
      <alignment horizontal="center"/>
      <protection locked="0"/>
    </xf>
    <xf numFmtId="14" fontId="30" fillId="0" borderId="22" xfId="0" applyNumberFormat="1" applyFont="1" applyBorder="1" applyAlignment="1" applyProtection="1">
      <alignment horizontal="center"/>
      <protection locked="0"/>
    </xf>
    <xf numFmtId="14" fontId="30" fillId="0" borderId="11" xfId="0" applyNumberFormat="1" applyFont="1" applyBorder="1" applyAlignment="1" applyProtection="1">
      <alignment horizontal="center"/>
      <protection locked="0"/>
    </xf>
    <xf numFmtId="14" fontId="30" fillId="0" borderId="28" xfId="0" applyNumberFormat="1" applyFont="1" applyBorder="1" applyAlignment="1" applyProtection="1">
      <alignment horizontal="center"/>
      <protection locked="0"/>
    </xf>
    <xf numFmtId="170" fontId="30" fillId="0" borderId="14" xfId="0" applyNumberFormat="1" applyFont="1" applyBorder="1" applyAlignment="1" applyProtection="1">
      <alignment horizontal="center"/>
      <protection locked="0"/>
    </xf>
    <xf numFmtId="0" fontId="31" fillId="0" borderId="14" xfId="0" applyNumberFormat="1" applyFont="1" applyBorder="1" applyAlignment="1" applyProtection="1">
      <alignment horizontal="center"/>
      <protection locked="0"/>
    </xf>
    <xf numFmtId="0" fontId="30" fillId="0" borderId="14" xfId="0" applyNumberFormat="1" applyFont="1" applyFill="1" applyBorder="1" applyAlignment="1" applyProtection="1">
      <alignment horizontal="center"/>
      <protection locked="0"/>
    </xf>
    <xf numFmtId="0" fontId="31" fillId="0" borderId="32" xfId="0" applyNumberFormat="1" applyFont="1" applyBorder="1" applyAlignment="1" applyProtection="1">
      <alignment horizontal="center"/>
      <protection locked="0"/>
    </xf>
    <xf numFmtId="0" fontId="31" fillId="0" borderId="33" xfId="0" applyNumberFormat="1" applyFont="1" applyBorder="1" applyAlignment="1" applyProtection="1">
      <alignment horizontal="center"/>
      <protection locked="0"/>
    </xf>
    <xf numFmtId="0" fontId="22" fillId="0" borderId="14" xfId="0" applyNumberFormat="1" applyFont="1" applyBorder="1" applyAlignment="1" applyProtection="1">
      <alignment horizontal="center"/>
      <protection locked="0"/>
    </xf>
    <xf numFmtId="0" fontId="30" fillId="0" borderId="20" xfId="0" applyNumberFormat="1" applyFont="1" applyBorder="1" applyAlignment="1" applyProtection="1">
      <alignment horizontal="left" vertical="top"/>
      <protection locked="0"/>
    </xf>
    <xf numFmtId="0" fontId="30" fillId="0" borderId="0" xfId="0" applyNumberFormat="1" applyFont="1" applyBorder="1" applyAlignment="1" applyProtection="1">
      <alignment horizontal="left" vertical="top"/>
      <protection locked="0"/>
    </xf>
    <xf numFmtId="166" fontId="23" fillId="36" borderId="49" xfId="0" applyFont="1" applyFill="1" applyBorder="1" applyAlignment="1">
      <alignment horizontal="left"/>
    </xf>
    <xf numFmtId="166" fontId="23" fillId="36" borderId="64" xfId="0" applyFont="1" applyFill="1" applyBorder="1" applyAlignment="1">
      <alignment horizontal="left"/>
    </xf>
    <xf numFmtId="0" fontId="23" fillId="0" borderId="0" xfId="45" applyNumberFormat="1" applyFont="1" applyAlignment="1" applyProtection="1">
      <protection hidden="1"/>
    </xf>
    <xf numFmtId="0" fontId="72" fillId="28" borderId="10" xfId="45" applyNumberFormat="1" applyFont="1" applyFill="1" applyBorder="1" applyAlignment="1" applyProtection="1">
      <alignment horizontal="left"/>
      <protection hidden="1"/>
    </xf>
    <xf numFmtId="0" fontId="72" fillId="28" borderId="27" xfId="45" applyNumberFormat="1" applyFont="1" applyFill="1" applyBorder="1" applyAlignment="1" applyProtection="1">
      <alignment horizontal="left"/>
      <protection hidden="1"/>
    </xf>
    <xf numFmtId="0" fontId="72" fillId="28" borderId="44" xfId="45" applyNumberFormat="1" applyFont="1" applyFill="1" applyBorder="1" applyAlignment="1" applyProtection="1">
      <alignment horizontal="left"/>
      <protection hidden="1"/>
    </xf>
    <xf numFmtId="0" fontId="23" fillId="0" borderId="14" xfId="45" applyNumberFormat="1" applyFont="1" applyBorder="1" applyAlignment="1" applyProtection="1">
      <protection hidden="1"/>
    </xf>
    <xf numFmtId="0" fontId="23" fillId="0" borderId="32" xfId="45" applyNumberFormat="1" applyFont="1" applyBorder="1" applyAlignment="1" applyProtection="1">
      <protection hidden="1"/>
    </xf>
    <xf numFmtId="0" fontId="23" fillId="0" borderId="12" xfId="45" applyNumberFormat="1" applyFont="1" applyBorder="1" applyAlignment="1" applyProtection="1">
      <protection hidden="1"/>
    </xf>
    <xf numFmtId="0" fontId="23" fillId="0" borderId="33" xfId="45" applyNumberFormat="1" applyFont="1" applyBorder="1" applyAlignment="1" applyProtection="1">
      <protection hidden="1"/>
    </xf>
    <xf numFmtId="0" fontId="23" fillId="0" borderId="32" xfId="45" applyNumberFormat="1" applyFont="1" applyBorder="1" applyAlignment="1" applyProtection="1">
      <alignment horizontal="center"/>
      <protection hidden="1"/>
    </xf>
    <xf numFmtId="0" fontId="23" fillId="0" borderId="12" xfId="45" applyNumberFormat="1" applyFont="1" applyBorder="1" applyAlignment="1" applyProtection="1">
      <alignment horizontal="center"/>
      <protection hidden="1"/>
    </xf>
    <xf numFmtId="0" fontId="23" fillId="0" borderId="33" xfId="45" applyNumberFormat="1" applyFont="1" applyBorder="1" applyAlignment="1" applyProtection="1">
      <alignment horizontal="center"/>
      <protection hidden="1"/>
    </xf>
    <xf numFmtId="0" fontId="23" fillId="0" borderId="14" xfId="45" applyNumberFormat="1" applyFont="1" applyBorder="1" applyAlignment="1" applyProtection="1">
      <alignment horizontal="center"/>
      <protection hidden="1"/>
    </xf>
    <xf numFmtId="0" fontId="20" fillId="37" borderId="14" xfId="45" applyNumberFormat="1" applyFont="1" applyFill="1" applyBorder="1" applyAlignment="1" applyProtection="1">
      <protection locked="0"/>
    </xf>
    <xf numFmtId="0" fontId="20" fillId="37" borderId="32" xfId="45" applyNumberFormat="1" applyFont="1" applyFill="1" applyBorder="1" applyAlignment="1" applyProtection="1">
      <alignment horizontal="center"/>
      <protection locked="0"/>
    </xf>
    <xf numFmtId="0" fontId="20" fillId="37" borderId="12" xfId="45" applyNumberFormat="1" applyFont="1" applyFill="1" applyBorder="1" applyAlignment="1" applyProtection="1">
      <alignment horizontal="center"/>
      <protection locked="0"/>
    </xf>
    <xf numFmtId="0" fontId="20" fillId="37" borderId="33" xfId="45" applyNumberFormat="1" applyFont="1" applyFill="1" applyBorder="1" applyAlignment="1" applyProtection="1">
      <alignment horizontal="center"/>
      <protection locked="0"/>
    </xf>
    <xf numFmtId="0" fontId="20" fillId="0" borderId="32" xfId="45" applyNumberFormat="1" applyFont="1" applyBorder="1" applyAlignment="1" applyProtection="1">
      <alignment horizontal="center"/>
      <protection locked="0"/>
    </xf>
    <xf numFmtId="0" fontId="20" fillId="0" borderId="12" xfId="45" applyNumberFormat="1" applyFont="1" applyBorder="1" applyAlignment="1" applyProtection="1">
      <alignment horizontal="center"/>
      <protection locked="0"/>
    </xf>
    <xf numFmtId="0" fontId="20" fillId="0" borderId="33" xfId="45" applyNumberFormat="1" applyFont="1" applyBorder="1" applyAlignment="1" applyProtection="1">
      <alignment horizontal="center"/>
      <protection locked="0"/>
    </xf>
    <xf numFmtId="0" fontId="20" fillId="0" borderId="14" xfId="45" applyNumberFormat="1" applyFont="1" applyBorder="1" applyAlignment="1" applyProtection="1">
      <alignment horizontal="center"/>
      <protection locked="0"/>
    </xf>
    <xf numFmtId="0" fontId="23" fillId="0" borderId="24" xfId="45" applyNumberFormat="1" applyFont="1" applyBorder="1" applyAlignment="1" applyProtection="1">
      <protection hidden="1"/>
    </xf>
    <xf numFmtId="0" fontId="23" fillId="0" borderId="0" xfId="45" applyNumberFormat="1" applyFont="1" applyBorder="1" applyAlignment="1" applyProtection="1">
      <protection hidden="1"/>
    </xf>
    <xf numFmtId="0" fontId="20" fillId="0" borderId="43" xfId="45" applyNumberFormat="1" applyFont="1" applyBorder="1" applyAlignment="1" applyProtection="1">
      <alignment horizontal="center" vertical="center"/>
      <protection hidden="1"/>
    </xf>
    <xf numFmtId="0" fontId="20" fillId="0" borderId="46" xfId="45" applyNumberFormat="1" applyFont="1" applyBorder="1" applyAlignment="1" applyProtection="1">
      <alignment horizontal="center" vertical="center"/>
      <protection hidden="1"/>
    </xf>
    <xf numFmtId="0" fontId="77" fillId="0" borderId="29" xfId="45" applyNumberFormat="1" applyFont="1" applyFill="1" applyBorder="1" applyAlignment="1" applyProtection="1">
      <alignment horizontal="center" vertical="center" wrapText="1"/>
      <protection hidden="1"/>
    </xf>
    <xf numFmtId="0" fontId="77" fillId="0" borderId="30" xfId="45" applyNumberFormat="1" applyFont="1" applyFill="1" applyBorder="1" applyAlignment="1" applyProtection="1">
      <alignment horizontal="center" vertical="center" wrapText="1"/>
      <protection hidden="1"/>
    </xf>
    <xf numFmtId="0" fontId="38" fillId="0" borderId="22" xfId="45" applyNumberFormat="1" applyFont="1" applyBorder="1" applyAlignment="1" applyProtection="1">
      <alignment horizontal="center"/>
      <protection locked="0"/>
    </xf>
    <xf numFmtId="0" fontId="38" fillId="0" borderId="28" xfId="45" applyNumberFormat="1" applyFont="1" applyBorder="1" applyAlignment="1" applyProtection="1">
      <alignment horizontal="center"/>
      <protection locked="0"/>
    </xf>
    <xf numFmtId="0" fontId="38" fillId="0" borderId="22" xfId="45" applyNumberFormat="1" applyFont="1" applyBorder="1" applyAlignment="1" applyProtection="1">
      <alignment horizontal="left"/>
      <protection locked="0"/>
    </xf>
    <xf numFmtId="0" fontId="38" fillId="0" borderId="28" xfId="45" applyNumberFormat="1" applyFont="1" applyBorder="1" applyAlignment="1" applyProtection="1">
      <alignment horizontal="left"/>
      <protection locked="0"/>
    </xf>
    <xf numFmtId="0" fontId="38" fillId="0" borderId="22" xfId="45" applyNumberFormat="1" applyFont="1" applyBorder="1" applyAlignment="1" applyProtection="1">
      <alignment horizontal="left"/>
      <protection hidden="1"/>
    </xf>
    <xf numFmtId="0" fontId="38" fillId="0" borderId="11" xfId="45" applyNumberFormat="1" applyFont="1" applyBorder="1" applyAlignment="1" applyProtection="1">
      <alignment horizontal="left"/>
      <protection hidden="1"/>
    </xf>
    <xf numFmtId="0" fontId="28" fillId="33" borderId="29" xfId="45" applyNumberFormat="1" applyFont="1" applyFill="1" applyBorder="1" applyAlignment="1" applyProtection="1">
      <alignment horizontal="right" vertical="top" wrapText="1"/>
      <protection locked="0"/>
    </xf>
    <xf numFmtId="0" fontId="28" fillId="33" borderId="20" xfId="45" applyNumberFormat="1" applyFont="1" applyFill="1" applyBorder="1" applyAlignment="1" applyProtection="1">
      <alignment horizontal="right" vertical="top" wrapText="1"/>
      <protection locked="0"/>
    </xf>
    <xf numFmtId="0" fontId="28" fillId="33" borderId="30" xfId="45" applyNumberFormat="1" applyFont="1" applyFill="1" applyBorder="1" applyAlignment="1" applyProtection="1">
      <alignment horizontal="right" vertical="top" wrapText="1"/>
      <protection locked="0"/>
    </xf>
    <xf numFmtId="0" fontId="28" fillId="33" borderId="22" xfId="45" applyNumberFormat="1" applyFont="1" applyFill="1" applyBorder="1" applyAlignment="1" applyProtection="1">
      <alignment horizontal="right" vertical="top" wrapText="1"/>
      <protection locked="0"/>
    </xf>
    <xf numFmtId="0" fontId="28" fillId="33" borderId="11" xfId="45" applyNumberFormat="1" applyFont="1" applyFill="1" applyBorder="1" applyAlignment="1" applyProtection="1">
      <alignment horizontal="right" vertical="top" wrapText="1"/>
      <protection locked="0"/>
    </xf>
    <xf numFmtId="0" fontId="28" fillId="33" borderId="28" xfId="45" applyNumberFormat="1" applyFont="1" applyFill="1" applyBorder="1" applyAlignment="1" applyProtection="1">
      <alignment horizontal="right" vertical="top" wrapText="1"/>
      <protection locked="0"/>
    </xf>
    <xf numFmtId="0" fontId="28" fillId="0" borderId="29" xfId="45" applyNumberFormat="1" applyFont="1" applyBorder="1" applyAlignment="1" applyProtection="1">
      <alignment vertical="top"/>
      <protection hidden="1"/>
    </xf>
    <xf numFmtId="0" fontId="28" fillId="0" borderId="20" xfId="45" applyNumberFormat="1" applyFont="1" applyBorder="1" applyAlignment="1" applyProtection="1">
      <alignment vertical="top"/>
      <protection hidden="1"/>
    </xf>
    <xf numFmtId="0" fontId="28" fillId="0" borderId="30" xfId="45" applyNumberFormat="1" applyFont="1" applyBorder="1" applyAlignment="1" applyProtection="1">
      <alignment vertical="top"/>
      <protection hidden="1"/>
    </xf>
    <xf numFmtId="0" fontId="38" fillId="0" borderId="28" xfId="45" applyNumberFormat="1" applyFont="1" applyBorder="1" applyAlignment="1" applyProtection="1">
      <alignment horizontal="left"/>
      <protection hidden="1"/>
    </xf>
    <xf numFmtId="0" fontId="78" fillId="0" borderId="29" xfId="45" applyNumberFormat="1" applyFont="1" applyFill="1" applyBorder="1" applyAlignment="1" applyProtection="1">
      <alignment horizontal="center" vertical="center" wrapText="1"/>
      <protection hidden="1"/>
    </xf>
    <xf numFmtId="0" fontId="78" fillId="0" borderId="30" xfId="45" applyNumberFormat="1" applyFont="1" applyFill="1" applyBorder="1" applyAlignment="1" applyProtection="1">
      <alignment horizontal="center" vertical="center" wrapText="1"/>
      <protection hidden="1"/>
    </xf>
    <xf numFmtId="0" fontId="78" fillId="0" borderId="24" xfId="45" applyNumberFormat="1" applyFont="1" applyFill="1" applyBorder="1" applyAlignment="1" applyProtection="1">
      <alignment horizontal="center" vertical="center" wrapText="1"/>
      <protection hidden="1"/>
    </xf>
    <xf numFmtId="0" fontId="78" fillId="0" borderId="26" xfId="45" applyNumberFormat="1" applyFont="1" applyFill="1" applyBorder="1" applyAlignment="1" applyProtection="1">
      <alignment horizontal="center" vertical="center" wrapText="1"/>
      <protection hidden="1"/>
    </xf>
    <xf numFmtId="166" fontId="26" fillId="0" borderId="0" xfId="43" applyFont="1" applyAlignment="1">
      <alignment wrapText="1"/>
    </xf>
    <xf numFmtId="166" fontId="21" fillId="26" borderId="32" xfId="43" applyFill="1" applyBorder="1" applyAlignment="1" applyProtection="1">
      <alignment horizontal="left"/>
      <protection locked="0"/>
    </xf>
    <xf numFmtId="166" fontId="21" fillId="26" borderId="33" xfId="43" applyFill="1" applyBorder="1" applyAlignment="1" applyProtection="1">
      <alignment horizontal="left"/>
      <protection locked="0"/>
    </xf>
  </cellXfs>
  <cellStyles count="46">
    <cellStyle name="20% - Dekorfärg1" xfId="1" builtinId="30" customBuiltin="1"/>
    <cellStyle name="20% - Dekorfärg2" xfId="2" builtinId="34" customBuiltin="1"/>
    <cellStyle name="20% - Dekorfärg3" xfId="3" builtinId="38" customBuiltin="1"/>
    <cellStyle name="20% - Dekorfärg4" xfId="4" builtinId="42" customBuiltin="1"/>
    <cellStyle name="20% - Dekorfärg5" xfId="5" builtinId="46" customBuiltin="1"/>
    <cellStyle name="20% - Dekorfärg6" xfId="6" builtinId="50" customBuiltin="1"/>
    <cellStyle name="40% - Dekorfärg1" xfId="7" builtinId="31" customBuiltin="1"/>
    <cellStyle name="40% - Dekorfärg2" xfId="8" builtinId="35" customBuiltin="1"/>
    <cellStyle name="40% - Dekorfärg3" xfId="9" builtinId="39" customBuiltin="1"/>
    <cellStyle name="40% - Dekorfärg4" xfId="10" builtinId="43" customBuiltin="1"/>
    <cellStyle name="40% - Dekorfärg5" xfId="11" builtinId="47" customBuiltin="1"/>
    <cellStyle name="40% - Dekorfärg6" xfId="12" builtinId="51" customBuiltin="1"/>
    <cellStyle name="60% - Dekorfärg1" xfId="13" builtinId="32" customBuiltin="1"/>
    <cellStyle name="60% - Dekorfärg2" xfId="14" builtinId="36" customBuiltin="1"/>
    <cellStyle name="60% - Dekorfärg3" xfId="15" builtinId="40" customBuiltin="1"/>
    <cellStyle name="60% - Dekorfärg4" xfId="16" builtinId="44" customBuiltin="1"/>
    <cellStyle name="60% - Dekorfärg5" xfId="17" builtinId="48" customBuiltin="1"/>
    <cellStyle name="60% - Dekorfärg6" xfId="18" builtinId="52" customBuiltin="1"/>
    <cellStyle name="Anteckning" xfId="19" builtinId="10" customBuiltin="1"/>
    <cellStyle name="Beräkning" xfId="20" builtinId="22" customBuiltin="1"/>
    <cellStyle name="Bra" xfId="21" builtinId="26" customBuiltin="1"/>
    <cellStyle name="Dålig" xfId="22" builtinId="27" customBuiltin="1"/>
    <cellStyle name="Färg1" xfId="23" builtinId="29" customBuiltin="1"/>
    <cellStyle name="Färg2" xfId="24" builtinId="33" customBuiltin="1"/>
    <cellStyle name="Färg3" xfId="25" builtinId="37" customBuiltin="1"/>
    <cellStyle name="Färg4" xfId="26" builtinId="41" customBuiltin="1"/>
    <cellStyle name="Färg5" xfId="27" builtinId="45" customBuiltin="1"/>
    <cellStyle name="Färg6" xfId="28" builtinId="49" customBuiltin="1"/>
    <cellStyle name="Förklarande text" xfId="29" builtinId="53" customBuiltin="1"/>
    <cellStyle name="Hyperlänk" xfId="30" builtinId="8"/>
    <cellStyle name="Indata" xfId="31" builtinId="20" customBuiltin="1"/>
    <cellStyle name="Kontrollcell" xfId="32" builtinId="23" customBuiltin="1"/>
    <cellStyle name="Länkad cell" xfId="33" builtinId="24" customBuiltin="1"/>
    <cellStyle name="Neutral" xfId="34" builtinId="28" customBuiltin="1"/>
    <cellStyle name="Normaali_041500" xfId="44"/>
    <cellStyle name="Normal" xfId="0" builtinId="0"/>
    <cellStyle name="Normal 2" xfId="43"/>
    <cellStyle name="Normal 3" xfId="45"/>
    <cellStyle name="Rubrik" xfId="35" builtinId="15" customBuiltin="1"/>
    <cellStyle name="Rubrik 1" xfId="36" builtinId="16" customBuiltin="1"/>
    <cellStyle name="Rubrik 2" xfId="37" builtinId="17" customBuiltin="1"/>
    <cellStyle name="Rubrik 3" xfId="38" builtinId="18" customBuiltin="1"/>
    <cellStyle name="Rubrik 4" xfId="39" builtinId="19" customBuiltin="1"/>
    <cellStyle name="Summa" xfId="40" builtinId="25" customBuiltin="1"/>
    <cellStyle name="Utdata" xfId="41" builtinId="21" customBuiltin="1"/>
    <cellStyle name="Varningstext" xfId="42" builtinId="11" customBuiltin="1"/>
  </cellStyles>
  <dxfs count="170">
    <dxf>
      <font>
        <color theme="0"/>
      </font>
    </dxf>
    <dxf>
      <fill>
        <patternFill>
          <bgColor theme="6" tint="0.39994506668294322"/>
        </patternFill>
      </fill>
    </dxf>
    <dxf>
      <fill>
        <patternFill>
          <bgColor theme="6" tint="0.3999450666829432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indexed="64"/>
        </left>
        <right style="thin">
          <color indexed="64"/>
        </right>
        <top style="thin">
          <color indexed="64"/>
        </top>
        <bottom style="thin">
          <color indexed="64"/>
        </bottom>
      </border>
    </dxf>
    <dxf>
      <font>
        <color theme="0"/>
      </font>
    </dxf>
    <dxf>
      <font>
        <color theme="0"/>
      </font>
    </dxf>
    <dxf>
      <font>
        <color theme="0"/>
      </font>
    </dxf>
    <dxf>
      <font>
        <color theme="0"/>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1"/>
      </font>
    </dxf>
    <dxf>
      <font>
        <color theme="1"/>
      </font>
    </dxf>
    <dxf>
      <font>
        <color theme="1"/>
      </font>
    </dxf>
    <dxf>
      <font>
        <color theme="1"/>
      </font>
    </dxf>
    <dxf>
      <font>
        <color theme="0"/>
      </font>
    </dxf>
    <dxf>
      <font>
        <color theme="1"/>
      </font>
    </dxf>
    <dxf>
      <font>
        <color theme="0"/>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1"/>
      </font>
    </dxf>
    <dxf>
      <font>
        <color theme="1"/>
      </font>
    </dxf>
    <dxf>
      <font>
        <color theme="1"/>
      </font>
    </dxf>
    <dxf>
      <font>
        <color theme="1"/>
      </font>
    </dxf>
    <dxf>
      <font>
        <color theme="0"/>
      </font>
    </dxf>
    <dxf>
      <font>
        <color theme="1"/>
      </font>
    </dxf>
    <dxf>
      <font>
        <color theme="0"/>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1"/>
      </font>
    </dxf>
    <dxf>
      <font>
        <color theme="1"/>
      </font>
    </dxf>
    <dxf>
      <font>
        <color theme="1"/>
      </font>
    </dxf>
    <dxf>
      <font>
        <color theme="1"/>
      </font>
    </dxf>
    <dxf>
      <font>
        <color theme="0"/>
      </font>
    </dxf>
    <dxf>
      <font>
        <color theme="1"/>
      </font>
    </dxf>
    <dxf>
      <font>
        <color theme="0"/>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0"/>
      </font>
    </dxf>
    <dxf>
      <font>
        <color theme="1"/>
      </font>
    </dxf>
    <dxf>
      <font>
        <color theme="1"/>
      </font>
    </dxf>
    <dxf>
      <font>
        <color theme="1"/>
      </font>
    </dxf>
    <dxf>
      <font>
        <color theme="1"/>
      </font>
    </dxf>
    <dxf>
      <font>
        <color theme="1"/>
      </font>
    </dxf>
    <dxf>
      <font>
        <color theme="0"/>
      </font>
    </dxf>
    <dxf>
      <font>
        <color theme="1"/>
      </font>
    </dxf>
    <dxf>
      <font>
        <color theme="0"/>
      </font>
    </dxf>
    <dxf>
      <font>
        <color auto="1"/>
      </font>
    </dxf>
    <dxf>
      <font>
        <color theme="0"/>
      </font>
    </dxf>
    <dxf>
      <font>
        <color theme="0"/>
      </font>
    </dxf>
    <dxf>
      <border>
        <left style="thin">
          <color auto="1"/>
        </left>
        <vertical/>
        <horizontal/>
      </border>
    </dxf>
    <dxf>
      <font>
        <b/>
        <i val="0"/>
        <color rgb="FFFF0000"/>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fill>
        <patternFill>
          <bgColor rgb="FFFFFF00"/>
        </patternFill>
      </fill>
      <border>
        <left style="thin">
          <color auto="1"/>
        </left>
        <right style="thin">
          <color auto="1"/>
        </right>
        <top style="thin">
          <color auto="1"/>
        </top>
        <bottom style="thin">
          <color auto="1"/>
        </bottom>
        <vertical/>
        <horizontal/>
      </border>
    </dxf>
    <dxf>
      <font>
        <b/>
        <i val="0"/>
        <color rgb="FFFF0000"/>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00"/>
        </patternFill>
      </fill>
    </dxf>
    <dxf>
      <font>
        <color theme="0"/>
      </font>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C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theme="9" tint="0.59996337778862885"/>
        </patternFill>
      </fill>
    </dxf>
    <dxf>
      <font>
        <color theme="0"/>
      </font>
      <fill>
        <patternFill>
          <bgColor theme="0"/>
        </patternFill>
      </fill>
    </dxf>
    <dxf>
      <fill>
        <patternFill>
          <bgColor rgb="FFFFC000"/>
        </patternFill>
      </fill>
      <border>
        <left style="thin">
          <color auto="1"/>
        </left>
        <right style="thin">
          <color auto="1"/>
        </right>
        <top style="thin">
          <color auto="1"/>
        </top>
        <bottom style="thin">
          <color auto="1"/>
        </bottom>
        <vertical/>
        <horizontal/>
      </border>
    </dxf>
    <dxf>
      <font>
        <color theme="0"/>
      </font>
    </dxf>
    <dxf>
      <font>
        <color theme="0"/>
      </font>
      <fill>
        <patternFill>
          <bgColor theme="0"/>
        </patternFill>
      </fill>
    </dxf>
  </dxfs>
  <tableStyles count="0" defaultTableStyle="TableStyleMedium2" defaultPivotStyle="PivotStyleLight16"/>
  <colors>
    <mruColors>
      <color rgb="FFFFFFCC"/>
      <color rgb="FFFFFF66"/>
      <color rgb="FFFFFF99"/>
      <color rgb="FFFFCC00"/>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19242</xdr:colOff>
      <xdr:row>0</xdr:row>
      <xdr:rowOff>9621</xdr:rowOff>
    </xdr:from>
    <xdr:to>
      <xdr:col>3</xdr:col>
      <xdr:colOff>157880</xdr:colOff>
      <xdr:row>4</xdr:row>
      <xdr:rowOff>192424</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42" y="9621"/>
          <a:ext cx="821744" cy="1183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41151</xdr:rowOff>
    </xdr:from>
    <xdr:to>
      <xdr:col>3</xdr:col>
      <xdr:colOff>76199</xdr:colOff>
      <xdr:row>4</xdr:row>
      <xdr:rowOff>139137</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1151"/>
          <a:ext cx="590549" cy="85046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ww.husec.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AA216"/>
  <sheetViews>
    <sheetView zoomScale="108" zoomScaleNormal="108" workbookViewId="0">
      <selection activeCell="A8" sqref="A8"/>
    </sheetView>
  </sheetViews>
  <sheetFormatPr defaultRowHeight="12.75" x14ac:dyDescent="0.2"/>
  <cols>
    <col min="1" max="1" width="12.7109375" style="7" customWidth="1"/>
    <col min="2" max="2" width="11.42578125" style="90" hidden="1" customWidth="1"/>
    <col min="3" max="3" width="7" style="7" hidden="1" customWidth="1"/>
    <col min="4" max="4" width="11.140625" style="7" hidden="1" customWidth="1"/>
    <col min="5" max="6" width="10.85546875" style="7" hidden="1" customWidth="1"/>
    <col min="7" max="7" width="15.85546875" style="7" hidden="1" customWidth="1"/>
    <col min="8" max="8" width="9.42578125" style="90" hidden="1" customWidth="1"/>
    <col min="9" max="11" width="6.7109375" style="90" hidden="1" customWidth="1"/>
    <col min="12" max="12" width="8.28515625" style="90" hidden="1" customWidth="1"/>
    <col min="13" max="13" width="4.7109375" style="7" hidden="1" customWidth="1"/>
    <col min="14" max="14" width="5" style="7" hidden="1" customWidth="1"/>
    <col min="15" max="15" width="8" style="7" hidden="1" customWidth="1"/>
    <col min="16" max="16" width="6.5703125" style="90" hidden="1" customWidth="1"/>
    <col min="17" max="17" width="7.7109375" style="7" hidden="1" customWidth="1"/>
    <col min="18" max="26" width="6.5703125" style="7" customWidth="1"/>
    <col min="27" max="16384" width="9.140625" style="7"/>
  </cols>
  <sheetData>
    <row r="1" spans="1:19" x14ac:dyDescent="0.2">
      <c r="E1" s="144" t="s">
        <v>46</v>
      </c>
      <c r="F1" s="144" t="s">
        <v>15</v>
      </c>
      <c r="G1" s="144" t="s">
        <v>1122</v>
      </c>
      <c r="H1" s="144" t="s">
        <v>1123</v>
      </c>
      <c r="I1" s="144" t="s">
        <v>1124</v>
      </c>
      <c r="J1" s="144" t="s">
        <v>1125</v>
      </c>
      <c r="K1" s="144" t="s">
        <v>1126</v>
      </c>
      <c r="L1" s="144" t="s">
        <v>1127</v>
      </c>
      <c r="S1" s="12"/>
    </row>
    <row r="2" spans="1:19" x14ac:dyDescent="0.2">
      <c r="A2" s="469" t="s">
        <v>275</v>
      </c>
      <c r="D2" s="11" t="s">
        <v>729</v>
      </c>
      <c r="E2" s="363">
        <f>'Ob1'!I$6</f>
        <v>0</v>
      </c>
      <c r="F2" s="7">
        <f>'Ob1'!F$6</f>
        <v>0</v>
      </c>
      <c r="G2" s="7" t="str">
        <f>'Ob1'!W$102</f>
        <v>0.00-0.00-0.00-0.00</v>
      </c>
      <c r="H2" s="7" t="str">
        <f>'Ob1'!W$103</f>
        <v>0.00-0.00-0.00-0.00</v>
      </c>
      <c r="I2" s="7" t="str">
        <f>'Ob1'!W$104</f>
        <v>0.00-0.00-0.00-0.00</v>
      </c>
      <c r="J2" s="7" t="str">
        <f>'Ob1'!W$105</f>
        <v>0.00-0.00-0.00-0.00</v>
      </c>
      <c r="K2" s="7" t="str">
        <f>'Ob1'!W$106</f>
        <v>0.00-0.00-0.00-0.00</v>
      </c>
      <c r="L2" s="7" t="str">
        <f>'Ob1'!W$107</f>
        <v>0.00-0.00-0.00-0.00</v>
      </c>
    </row>
    <row r="3" spans="1:19" x14ac:dyDescent="0.2">
      <c r="A3" s="469" t="s">
        <v>729</v>
      </c>
      <c r="D3" s="11" t="s">
        <v>730</v>
      </c>
      <c r="E3" s="363">
        <f>'Ob2'!I$6</f>
        <v>0</v>
      </c>
      <c r="F3" s="7">
        <f>'Ob2'!F$6</f>
        <v>0</v>
      </c>
      <c r="G3" s="7" t="str">
        <f>'Ob2'!W$102</f>
        <v>0.00-0.00-0.00-0.00</v>
      </c>
      <c r="H3" s="7" t="str">
        <f>'Ob2'!W$103</f>
        <v>0.00-0.00-0.00-0.00</v>
      </c>
      <c r="I3" s="7" t="str">
        <f>'Ob2'!W$104</f>
        <v>0.00-0.00-0.00-0.00</v>
      </c>
      <c r="J3" s="7" t="str">
        <f>'Ob2'!W$105</f>
        <v>0.00-0.00-0.00-0.00</v>
      </c>
      <c r="K3" s="7" t="str">
        <f>'Ob2'!W$106</f>
        <v>0.00-0.00-0.00-0.00</v>
      </c>
      <c r="L3" s="7" t="str">
        <f>'Ob2'!W$107</f>
        <v>0.00-0.00-0.00-0.00</v>
      </c>
    </row>
    <row r="4" spans="1:19" x14ac:dyDescent="0.2">
      <c r="A4" s="469" t="s">
        <v>730</v>
      </c>
      <c r="D4" s="11" t="s">
        <v>731</v>
      </c>
      <c r="E4" s="363">
        <f>'Ob3'!I$6</f>
        <v>0</v>
      </c>
      <c r="F4" s="7">
        <f>'Ob3'!F$6</f>
        <v>0</v>
      </c>
      <c r="G4" s="7" t="str">
        <f>'Ob3'!W$102</f>
        <v>0.00-0.00-0.00-0.00</v>
      </c>
      <c r="H4" s="7" t="str">
        <f>'Ob3'!W$103</f>
        <v>0.00-0.00-0.00-0.00</v>
      </c>
      <c r="I4" s="7" t="str">
        <f>'Ob3'!W$104</f>
        <v>0.00-0.00-0.00-0.00</v>
      </c>
      <c r="J4" s="7" t="str">
        <f>'Ob3'!W$105</f>
        <v>0.00-0.00-0.00-0.00</v>
      </c>
      <c r="K4" s="7" t="str">
        <f>'Ob3'!W$106</f>
        <v>0.00-0.00-0.00-0.00</v>
      </c>
      <c r="L4" s="7" t="str">
        <f>'Ob3'!W$107</f>
        <v>0.00-0.00-0.00-0.00</v>
      </c>
    </row>
    <row r="5" spans="1:19" x14ac:dyDescent="0.2">
      <c r="A5" s="469" t="s">
        <v>731</v>
      </c>
      <c r="D5" s="11" t="s">
        <v>732</v>
      </c>
      <c r="E5" s="363" t="e">
        <f>#REF!</f>
        <v>#REF!</v>
      </c>
      <c r="F5" s="7" t="e">
        <f>#REF!</f>
        <v>#REF!</v>
      </c>
      <c r="G5" s="7" t="e">
        <f>#REF!</f>
        <v>#REF!</v>
      </c>
      <c r="H5" s="7" t="e">
        <f>#REF!</f>
        <v>#REF!</v>
      </c>
      <c r="I5" s="7" t="e">
        <f>#REF!</f>
        <v>#REF!</v>
      </c>
      <c r="J5" s="7" t="e">
        <f>#REF!</f>
        <v>#REF!</v>
      </c>
      <c r="K5" s="7" t="e">
        <f>#REF!</f>
        <v>#REF!</v>
      </c>
      <c r="L5" s="7" t="e">
        <f>#REF!</f>
        <v>#REF!</v>
      </c>
    </row>
    <row r="6" spans="1:19" x14ac:dyDescent="0.2">
      <c r="A6" s="469" t="s">
        <v>732</v>
      </c>
      <c r="D6" s="11" t="s">
        <v>1118</v>
      </c>
      <c r="E6" s="363" t="e">
        <f>#REF!</f>
        <v>#REF!</v>
      </c>
      <c r="F6" s="7" t="e">
        <f>#REF!</f>
        <v>#REF!</v>
      </c>
      <c r="G6" s="7" t="e">
        <f>#REF!</f>
        <v>#REF!</v>
      </c>
      <c r="H6" s="7" t="e">
        <f>#REF!</f>
        <v>#REF!</v>
      </c>
      <c r="I6" s="7" t="e">
        <f>#REF!</f>
        <v>#REF!</v>
      </c>
      <c r="J6" s="7" t="e">
        <f>#REF!</f>
        <v>#REF!</v>
      </c>
      <c r="K6" s="7" t="e">
        <f>#REF!</f>
        <v>#REF!</v>
      </c>
      <c r="L6" s="7" t="e">
        <f>#REF!</f>
        <v>#REF!</v>
      </c>
    </row>
    <row r="7" spans="1:19" x14ac:dyDescent="0.2">
      <c r="A7" s="469"/>
      <c r="D7" s="11" t="s">
        <v>1119</v>
      </c>
      <c r="E7" s="363" t="e">
        <f>#REF!</f>
        <v>#REF!</v>
      </c>
      <c r="F7" s="7" t="e">
        <f>#REF!</f>
        <v>#REF!</v>
      </c>
      <c r="G7" s="7" t="e">
        <f>#REF!</f>
        <v>#REF!</v>
      </c>
      <c r="H7" s="7" t="e">
        <f>#REF!</f>
        <v>#REF!</v>
      </c>
      <c r="I7" s="7" t="e">
        <f>#REF!</f>
        <v>#REF!</v>
      </c>
      <c r="J7" s="7" t="e">
        <f>#REF!</f>
        <v>#REF!</v>
      </c>
      <c r="K7" s="7" t="e">
        <f>#REF!</f>
        <v>#REF!</v>
      </c>
      <c r="L7" s="7" t="e">
        <f>#REF!</f>
        <v>#REF!</v>
      </c>
    </row>
    <row r="8" spans="1:19" x14ac:dyDescent="0.2">
      <c r="A8" s="469"/>
      <c r="D8" s="11" t="s">
        <v>1120</v>
      </c>
      <c r="E8" s="363" t="e">
        <f>#REF!</f>
        <v>#REF!</v>
      </c>
      <c r="F8" s="7" t="e">
        <f>#REF!</f>
        <v>#REF!</v>
      </c>
      <c r="G8" s="7" t="e">
        <f>#REF!</f>
        <v>#REF!</v>
      </c>
      <c r="H8" s="7" t="e">
        <f>#REF!</f>
        <v>#REF!</v>
      </c>
      <c r="I8" s="7" t="e">
        <f>#REF!</f>
        <v>#REF!</v>
      </c>
      <c r="J8" s="7" t="e">
        <f>#REF!</f>
        <v>#REF!</v>
      </c>
      <c r="K8" s="7" t="e">
        <f>#REF!</f>
        <v>#REF!</v>
      </c>
      <c r="L8" s="7" t="e">
        <f>#REF!</f>
        <v>#REF!</v>
      </c>
    </row>
    <row r="9" spans="1:19" x14ac:dyDescent="0.2">
      <c r="A9" s="469"/>
      <c r="D9" s="11" t="s">
        <v>275</v>
      </c>
      <c r="E9" s="363">
        <f>'T1'!I$6</f>
        <v>0</v>
      </c>
      <c r="F9" s="7">
        <f>'T1'!F$6</f>
        <v>0</v>
      </c>
      <c r="G9" s="7" t="str">
        <f>'T1'!W$103</f>
        <v>0.00-0.00-0.00-0.00</v>
      </c>
      <c r="H9" s="7" t="str">
        <f>'T1'!W$104</f>
        <v>0.00-0.00-0.00-0.00</v>
      </c>
      <c r="I9" s="7" t="str">
        <f>'T1'!W$105</f>
        <v>0.00-0.00-0.00-0.00</v>
      </c>
      <c r="J9" s="7" t="str">
        <f>'T1'!W$106</f>
        <v>0.00-0.00-0.00-0.00</v>
      </c>
      <c r="K9" s="7" t="str">
        <f>'T1'!W$107</f>
        <v>0.00-0.00-0.00-0.00</v>
      </c>
      <c r="L9" s="7" t="str">
        <f>'T1'!W$108</f>
        <v>0.00-0.00-0.00-0.00</v>
      </c>
    </row>
    <row r="10" spans="1:19" x14ac:dyDescent="0.2">
      <c r="A10" s="469"/>
      <c r="D10" s="11" t="s">
        <v>237</v>
      </c>
      <c r="E10" s="363" t="e">
        <f>#REF!</f>
        <v>#REF!</v>
      </c>
      <c r="F10" s="7" t="e">
        <f>#REF!</f>
        <v>#REF!</v>
      </c>
      <c r="G10" s="7" t="e">
        <f>#REF!</f>
        <v>#REF!</v>
      </c>
      <c r="H10" s="7" t="e">
        <f>#REF!</f>
        <v>#REF!</v>
      </c>
      <c r="I10" s="7" t="e">
        <f>#REF!</f>
        <v>#REF!</v>
      </c>
      <c r="J10" s="7" t="e">
        <f>#REF!</f>
        <v>#REF!</v>
      </c>
      <c r="K10" s="7" t="e">
        <f>#REF!</f>
        <v>#REF!</v>
      </c>
      <c r="L10" s="7" t="e">
        <f>#REF!</f>
        <v>#REF!</v>
      </c>
    </row>
    <row r="11" spans="1:19" x14ac:dyDescent="0.2">
      <c r="A11" s="469"/>
      <c r="D11" s="11" t="s">
        <v>1121</v>
      </c>
      <c r="E11" s="363" t="e">
        <f>#REF!</f>
        <v>#REF!</v>
      </c>
      <c r="F11" s="7" t="e">
        <f>#REF!</f>
        <v>#REF!</v>
      </c>
      <c r="G11" s="7" t="e">
        <f>#REF!</f>
        <v>#REF!</v>
      </c>
      <c r="H11" s="7" t="e">
        <f>#REF!</f>
        <v>#REF!</v>
      </c>
      <c r="I11" s="7" t="e">
        <f>#REF!</f>
        <v>#REF!</v>
      </c>
      <c r="J11" s="7" t="e">
        <f>#REF!</f>
        <v>#REF!</v>
      </c>
      <c r="K11" s="7" t="e">
        <f>#REF!</f>
        <v>#REF!</v>
      </c>
      <c r="L11" s="7" t="e">
        <f>#REF!</f>
        <v>#REF!</v>
      </c>
    </row>
    <row r="12" spans="1:19" hidden="1" x14ac:dyDescent="0.2">
      <c r="A12" s="349" t="s">
        <v>536</v>
      </c>
      <c r="B12" s="373" t="str">
        <f>Fältkort!H91</f>
        <v>HUG066</v>
      </c>
      <c r="E12" s="389" t="s">
        <v>1029</v>
      </c>
      <c r="F12" s="390" t="s">
        <v>31</v>
      </c>
      <c r="G12" s="390" t="s">
        <v>88</v>
      </c>
      <c r="H12" s="390" t="s">
        <v>98</v>
      </c>
      <c r="I12" s="390" t="s">
        <v>99</v>
      </c>
      <c r="J12" s="389" t="s">
        <v>1031</v>
      </c>
      <c r="K12" s="389" t="s">
        <v>107</v>
      </c>
      <c r="L12" s="390" t="s">
        <v>108</v>
      </c>
      <c r="M12" s="389" t="s">
        <v>109</v>
      </c>
      <c r="N12" s="389" t="s">
        <v>120</v>
      </c>
      <c r="O12" s="389" t="s">
        <v>121</v>
      </c>
      <c r="P12" s="389" t="s">
        <v>123</v>
      </c>
      <c r="Q12" s="389" t="s">
        <v>124</v>
      </c>
    </row>
    <row r="13" spans="1:19" hidden="1" x14ac:dyDescent="0.2">
      <c r="A13" s="372" t="s">
        <v>537</v>
      </c>
      <c r="B13" s="174" t="str">
        <f>Fältkort!H86</f>
        <v>HU-1433</v>
      </c>
      <c r="E13" s="136" t="s">
        <v>61</v>
      </c>
      <c r="F13" s="206" t="s">
        <v>77</v>
      </c>
      <c r="G13" s="206" t="s">
        <v>91</v>
      </c>
      <c r="H13" s="206" t="s">
        <v>1032</v>
      </c>
      <c r="I13" s="206" t="s">
        <v>101</v>
      </c>
      <c r="J13" s="136">
        <v>50</v>
      </c>
      <c r="K13" s="136">
        <v>5</v>
      </c>
      <c r="L13" s="206">
        <v>1</v>
      </c>
      <c r="M13" s="136" t="s">
        <v>113</v>
      </c>
      <c r="N13" s="136">
        <v>300</v>
      </c>
      <c r="O13" s="136">
        <v>50</v>
      </c>
      <c r="P13" s="348">
        <v>4</v>
      </c>
      <c r="Q13" s="136" t="s">
        <v>126</v>
      </c>
    </row>
    <row r="14" spans="1:19" hidden="1" x14ac:dyDescent="0.2">
      <c r="A14" s="372" t="s">
        <v>538</v>
      </c>
      <c r="B14" s="174" t="str">
        <f>Fältkort!H88</f>
        <v>Control of D. teres in barley – NORBARAG</v>
      </c>
      <c r="E14" s="136" t="s">
        <v>59</v>
      </c>
      <c r="F14" s="206" t="s">
        <v>75</v>
      </c>
      <c r="G14" s="206" t="s">
        <v>90</v>
      </c>
      <c r="H14" s="206" t="s">
        <v>1032</v>
      </c>
      <c r="I14" s="206" t="s">
        <v>101</v>
      </c>
      <c r="J14" s="136">
        <v>50</v>
      </c>
      <c r="K14" s="136">
        <v>7</v>
      </c>
      <c r="L14" s="206">
        <v>1</v>
      </c>
      <c r="M14" s="136" t="s">
        <v>111</v>
      </c>
      <c r="N14" s="136">
        <v>300</v>
      </c>
      <c r="O14" s="136">
        <v>50</v>
      </c>
      <c r="P14" s="348">
        <v>4</v>
      </c>
      <c r="Q14" s="136" t="s">
        <v>126</v>
      </c>
    </row>
    <row r="15" spans="1:19" hidden="1" x14ac:dyDescent="0.2">
      <c r="A15" s="372" t="s">
        <v>539</v>
      </c>
      <c r="B15" s="174" t="str">
        <f>VLOOKUP(Fältkort!H89,$D$57:$E$84,2)</f>
        <v>Spring barley</v>
      </c>
      <c r="E15" s="136" t="s">
        <v>60</v>
      </c>
      <c r="F15" s="206" t="s">
        <v>76</v>
      </c>
      <c r="G15" s="206" t="s">
        <v>90</v>
      </c>
      <c r="H15" s="206" t="s">
        <v>1032</v>
      </c>
      <c r="I15" s="206" t="s">
        <v>102</v>
      </c>
      <c r="J15" s="136">
        <v>50</v>
      </c>
      <c r="K15" s="136">
        <v>6</v>
      </c>
      <c r="L15" s="206">
        <v>2</v>
      </c>
      <c r="M15" s="136" t="s">
        <v>112</v>
      </c>
      <c r="N15" s="136">
        <v>300</v>
      </c>
      <c r="O15" s="136">
        <v>50</v>
      </c>
      <c r="P15" s="348">
        <v>4</v>
      </c>
      <c r="Q15" s="136" t="s">
        <v>126</v>
      </c>
    </row>
    <row r="16" spans="1:19" hidden="1" x14ac:dyDescent="0.2">
      <c r="A16" s="372" t="s">
        <v>540</v>
      </c>
      <c r="B16" s="174" t="str">
        <f>Fältkort!H94</f>
        <v>M-658-2014</v>
      </c>
      <c r="E16" s="136" t="s">
        <v>62</v>
      </c>
      <c r="F16" s="206" t="s">
        <v>74</v>
      </c>
      <c r="G16" s="206" t="s">
        <v>92</v>
      </c>
      <c r="H16" s="206" t="s">
        <v>1032</v>
      </c>
      <c r="I16" s="206" t="s">
        <v>100</v>
      </c>
      <c r="J16" s="136">
        <v>33.299999999999997</v>
      </c>
      <c r="K16" s="136">
        <v>12</v>
      </c>
      <c r="L16" s="206">
        <v>1</v>
      </c>
      <c r="M16" s="136" t="s">
        <v>74</v>
      </c>
      <c r="N16" s="136">
        <v>400</v>
      </c>
      <c r="O16" s="136">
        <v>25</v>
      </c>
      <c r="P16" s="348">
        <v>4.4000000000000004</v>
      </c>
      <c r="Q16" s="136" t="s">
        <v>127</v>
      </c>
    </row>
    <row r="17" spans="1:17" hidden="1" x14ac:dyDescent="0.2">
      <c r="A17" s="372" t="s">
        <v>541</v>
      </c>
      <c r="B17" s="174" t="str">
        <f>Fältkort!H95</f>
        <v>Jeppa Olanders</v>
      </c>
      <c r="E17" s="136" t="s">
        <v>405</v>
      </c>
      <c r="F17" s="206" t="s">
        <v>407</v>
      </c>
      <c r="G17" s="206" t="s">
        <v>89</v>
      </c>
      <c r="H17" s="206" t="s">
        <v>1032</v>
      </c>
      <c r="I17" s="206" t="s">
        <v>102</v>
      </c>
      <c r="J17" s="136">
        <v>50</v>
      </c>
      <c r="K17" s="136">
        <v>8</v>
      </c>
      <c r="L17" s="206">
        <v>1</v>
      </c>
      <c r="M17" s="136" t="s">
        <v>630</v>
      </c>
      <c r="N17" s="136">
        <v>400</v>
      </c>
      <c r="O17" s="136">
        <v>50</v>
      </c>
      <c r="P17" s="348">
        <v>4</v>
      </c>
      <c r="Q17" s="136" t="s">
        <v>132</v>
      </c>
    </row>
    <row r="18" spans="1:17" hidden="1" x14ac:dyDescent="0.2">
      <c r="A18" s="372" t="s">
        <v>542</v>
      </c>
      <c r="B18" s="174" t="str">
        <f>Fältkort!H96</f>
        <v>Hemmesdyngevägen158</v>
      </c>
      <c r="E18" s="136" t="s">
        <v>399</v>
      </c>
      <c r="F18" s="206" t="s">
        <v>74</v>
      </c>
      <c r="G18" s="206" t="s">
        <v>89</v>
      </c>
      <c r="H18" s="206" t="s">
        <v>1032</v>
      </c>
      <c r="I18" s="206" t="s">
        <v>100</v>
      </c>
      <c r="J18" s="136">
        <v>50</v>
      </c>
      <c r="K18" s="136">
        <v>8</v>
      </c>
      <c r="L18" s="206">
        <v>1</v>
      </c>
      <c r="M18" s="136" t="s">
        <v>110</v>
      </c>
      <c r="N18" s="136">
        <v>400</v>
      </c>
      <c r="O18" s="136">
        <v>50</v>
      </c>
      <c r="P18" s="348">
        <v>4</v>
      </c>
      <c r="Q18" s="136" t="s">
        <v>125</v>
      </c>
    </row>
    <row r="19" spans="1:17" hidden="1" x14ac:dyDescent="0.2">
      <c r="A19" s="372" t="s">
        <v>543</v>
      </c>
      <c r="B19" s="174" t="str">
        <f>Fältkort!H97</f>
        <v>231 99</v>
      </c>
      <c r="E19" s="136" t="s">
        <v>400</v>
      </c>
      <c r="F19" s="206" t="s">
        <v>74</v>
      </c>
      <c r="G19" s="206" t="s">
        <v>91</v>
      </c>
      <c r="H19" s="206" t="s">
        <v>1033</v>
      </c>
      <c r="I19" s="206">
        <v>11002</v>
      </c>
      <c r="J19" s="136">
        <v>50</v>
      </c>
      <c r="K19" s="136">
        <v>8</v>
      </c>
      <c r="L19" s="206">
        <v>1</v>
      </c>
      <c r="M19" s="136" t="s">
        <v>116</v>
      </c>
      <c r="N19" s="136">
        <v>400</v>
      </c>
      <c r="O19" s="136">
        <v>75</v>
      </c>
      <c r="P19" s="348">
        <v>4</v>
      </c>
      <c r="Q19" s="136" t="s">
        <v>126</v>
      </c>
    </row>
    <row r="20" spans="1:17" hidden="1" x14ac:dyDescent="0.2">
      <c r="A20" s="372" t="s">
        <v>544</v>
      </c>
      <c r="B20" s="174" t="str">
        <f>Fältkort!H98</f>
        <v>Klagstorp</v>
      </c>
      <c r="E20" s="136" t="s">
        <v>401</v>
      </c>
      <c r="F20" s="206" t="s">
        <v>398</v>
      </c>
      <c r="G20" s="206" t="s">
        <v>89</v>
      </c>
      <c r="H20" s="206" t="s">
        <v>1032</v>
      </c>
      <c r="I20" s="206" t="s">
        <v>106</v>
      </c>
      <c r="J20" s="136">
        <v>50</v>
      </c>
      <c r="K20" s="136">
        <v>8</v>
      </c>
      <c r="L20" s="206">
        <v>1</v>
      </c>
      <c r="M20" s="136" t="s">
        <v>118</v>
      </c>
      <c r="N20" s="136">
        <v>400</v>
      </c>
      <c r="O20" s="136">
        <v>50</v>
      </c>
      <c r="P20" s="348">
        <v>4</v>
      </c>
      <c r="Q20" s="136" t="s">
        <v>129</v>
      </c>
    </row>
    <row r="21" spans="1:17" hidden="1" x14ac:dyDescent="0.2">
      <c r="A21" s="372" t="s">
        <v>545</v>
      </c>
      <c r="B21" s="174" t="str">
        <f>Fältkort!H100</f>
        <v>55.365576</v>
      </c>
      <c r="E21" s="136" t="s">
        <v>402</v>
      </c>
      <c r="F21" s="206" t="s">
        <v>74</v>
      </c>
      <c r="G21" s="206"/>
      <c r="H21" s="206"/>
      <c r="I21" s="206"/>
      <c r="J21" s="136"/>
      <c r="K21" s="136"/>
      <c r="L21" s="206"/>
      <c r="M21" s="136"/>
      <c r="N21" s="136"/>
      <c r="O21" s="136"/>
      <c r="P21" s="348"/>
      <c r="Q21" s="136"/>
    </row>
    <row r="22" spans="1:17" hidden="1" x14ac:dyDescent="0.2">
      <c r="A22" s="372" t="s">
        <v>546</v>
      </c>
      <c r="B22" s="174" t="str">
        <f>Fältkort!H101</f>
        <v>13.376241</v>
      </c>
      <c r="E22" s="136" t="s">
        <v>403</v>
      </c>
      <c r="F22" s="206" t="s">
        <v>74</v>
      </c>
      <c r="G22" s="206" t="s">
        <v>89</v>
      </c>
      <c r="H22" s="206" t="s">
        <v>1032</v>
      </c>
      <c r="I22" s="206" t="s">
        <v>100</v>
      </c>
      <c r="J22" s="136">
        <v>50</v>
      </c>
      <c r="K22" s="136">
        <v>8</v>
      </c>
      <c r="L22" s="206">
        <v>1</v>
      </c>
      <c r="M22" s="136" t="s">
        <v>119</v>
      </c>
      <c r="N22" s="136">
        <v>400</v>
      </c>
      <c r="O22" s="136">
        <v>50</v>
      </c>
      <c r="P22" s="348">
        <v>4</v>
      </c>
      <c r="Q22" s="136" t="s">
        <v>125</v>
      </c>
    </row>
    <row r="23" spans="1:17" hidden="1" x14ac:dyDescent="0.2">
      <c r="A23" s="372" t="s">
        <v>547</v>
      </c>
      <c r="B23" s="174">
        <f>Fältkort!H106</f>
        <v>0</v>
      </c>
      <c r="E23" s="136" t="s">
        <v>404</v>
      </c>
      <c r="F23" s="206" t="s">
        <v>406</v>
      </c>
      <c r="G23" s="206" t="s">
        <v>89</v>
      </c>
      <c r="H23" s="206" t="s">
        <v>1032</v>
      </c>
      <c r="I23" s="206" t="s">
        <v>102</v>
      </c>
      <c r="J23" s="136">
        <v>50</v>
      </c>
      <c r="K23" s="136">
        <v>8</v>
      </c>
      <c r="L23" s="206">
        <v>1</v>
      </c>
      <c r="M23" s="136" t="s">
        <v>117</v>
      </c>
      <c r="N23" s="136">
        <v>400</v>
      </c>
      <c r="O23" s="136">
        <v>50</v>
      </c>
      <c r="P23" s="348">
        <v>4</v>
      </c>
      <c r="Q23" s="136" t="s">
        <v>132</v>
      </c>
    </row>
    <row r="24" spans="1:17" hidden="1" x14ac:dyDescent="0.2">
      <c r="A24" s="372" t="s">
        <v>548</v>
      </c>
      <c r="B24" s="174">
        <f>Fältkort!H107</f>
        <v>0</v>
      </c>
      <c r="E24" s="136" t="s">
        <v>63</v>
      </c>
      <c r="F24" s="206" t="s">
        <v>78</v>
      </c>
      <c r="G24" s="206" t="s">
        <v>93</v>
      </c>
      <c r="H24" s="206" t="s">
        <v>1032</v>
      </c>
      <c r="I24" s="206" t="s">
        <v>102</v>
      </c>
      <c r="J24" s="136">
        <v>40</v>
      </c>
      <c r="K24" s="136">
        <v>7</v>
      </c>
      <c r="L24" s="206">
        <v>1</v>
      </c>
      <c r="M24" s="136" t="s">
        <v>114</v>
      </c>
      <c r="N24" s="136">
        <v>300</v>
      </c>
      <c r="O24" s="136">
        <v>40</v>
      </c>
      <c r="P24" s="348">
        <v>4.4000000000000004</v>
      </c>
      <c r="Q24" s="136"/>
    </row>
    <row r="25" spans="1:17" hidden="1" x14ac:dyDescent="0.2">
      <c r="A25" s="372" t="s">
        <v>549</v>
      </c>
      <c r="B25" s="174">
        <f>Fältkort!H108</f>
        <v>0</v>
      </c>
      <c r="E25" s="136" t="s">
        <v>64</v>
      </c>
      <c r="F25" s="206" t="s">
        <v>79</v>
      </c>
      <c r="G25" s="206" t="s">
        <v>91</v>
      </c>
      <c r="H25" s="206" t="s">
        <v>1033</v>
      </c>
      <c r="I25" s="206" t="s">
        <v>103</v>
      </c>
      <c r="J25" s="136">
        <v>50</v>
      </c>
      <c r="K25" s="136">
        <v>8</v>
      </c>
      <c r="L25" s="206">
        <v>1</v>
      </c>
      <c r="M25" s="136" t="s">
        <v>625</v>
      </c>
      <c r="N25" s="136">
        <v>400</v>
      </c>
      <c r="O25" s="136">
        <v>50</v>
      </c>
      <c r="P25" s="348">
        <v>4.4000000000000004</v>
      </c>
      <c r="Q25" s="136" t="s">
        <v>126</v>
      </c>
    </row>
    <row r="26" spans="1:17" hidden="1" x14ac:dyDescent="0.2">
      <c r="A26" s="372" t="s">
        <v>550</v>
      </c>
      <c r="B26" s="174" t="e">
        <f>VLOOKUP(Fältkort!H115,$D$57:$E$85,2)</f>
        <v>#N/A</v>
      </c>
      <c r="E26" s="136" t="s">
        <v>65</v>
      </c>
      <c r="F26" s="206" t="s">
        <v>80</v>
      </c>
      <c r="G26" s="206" t="s">
        <v>91</v>
      </c>
      <c r="H26" s="206" t="s">
        <v>1033</v>
      </c>
      <c r="I26" s="206" t="s">
        <v>103</v>
      </c>
      <c r="J26" s="136">
        <v>50</v>
      </c>
      <c r="K26" s="136">
        <v>8</v>
      </c>
      <c r="L26" s="206">
        <v>1</v>
      </c>
      <c r="M26" s="136" t="s">
        <v>625</v>
      </c>
      <c r="N26" s="136">
        <v>400</v>
      </c>
      <c r="O26" s="136">
        <v>50</v>
      </c>
      <c r="P26" s="348">
        <v>4.4000000000000004</v>
      </c>
      <c r="Q26" s="136" t="s">
        <v>126</v>
      </c>
    </row>
    <row r="27" spans="1:17" ht="13.5" hidden="1" thickBot="1" x14ac:dyDescent="0.25">
      <c r="A27" s="372" t="s">
        <v>787</v>
      </c>
      <c r="B27" s="174" t="e">
        <f>VLOOKUP(Fältkort!H116,$D$57:$E$85,2)</f>
        <v>#N/A</v>
      </c>
      <c r="E27" s="136" t="s">
        <v>66</v>
      </c>
      <c r="F27" s="206" t="s">
        <v>81</v>
      </c>
      <c r="G27" s="206" t="s">
        <v>94</v>
      </c>
      <c r="H27" s="206" t="s">
        <v>1034</v>
      </c>
      <c r="I27" s="206" t="s">
        <v>104</v>
      </c>
      <c r="J27" s="136">
        <v>50</v>
      </c>
      <c r="K27" s="136">
        <v>24</v>
      </c>
      <c r="L27" s="206">
        <v>1</v>
      </c>
      <c r="M27" s="136" t="s">
        <v>627</v>
      </c>
      <c r="N27" s="136">
        <v>1200</v>
      </c>
      <c r="O27" s="136">
        <v>50</v>
      </c>
      <c r="P27" s="348">
        <v>6.5</v>
      </c>
      <c r="Q27" s="136" t="s">
        <v>128</v>
      </c>
    </row>
    <row r="28" spans="1:17" hidden="1" x14ac:dyDescent="0.2">
      <c r="A28" s="350" t="s">
        <v>551</v>
      </c>
      <c r="B28" s="418">
        <f>B161</f>
        <v>41796</v>
      </c>
      <c r="E28" s="136" t="s">
        <v>67</v>
      </c>
      <c r="F28" s="206" t="s">
        <v>82</v>
      </c>
      <c r="G28" s="206" t="s">
        <v>95</v>
      </c>
      <c r="H28" s="206" t="s">
        <v>1034</v>
      </c>
      <c r="I28" s="206" t="s">
        <v>1030</v>
      </c>
      <c r="J28" s="136">
        <v>50</v>
      </c>
      <c r="K28" s="136">
        <v>9</v>
      </c>
      <c r="L28" s="206">
        <v>1</v>
      </c>
      <c r="M28" s="136" t="s">
        <v>626</v>
      </c>
      <c r="N28" s="136">
        <v>450</v>
      </c>
      <c r="O28" s="136">
        <v>50</v>
      </c>
      <c r="P28" s="348">
        <v>6.5</v>
      </c>
      <c r="Q28" s="136" t="s">
        <v>129</v>
      </c>
    </row>
    <row r="29" spans="1:17" hidden="1" x14ac:dyDescent="0.2">
      <c r="A29" s="351" t="s">
        <v>552</v>
      </c>
      <c r="B29" s="358">
        <f>B165</f>
        <v>37</v>
      </c>
      <c r="E29" s="136" t="s">
        <v>68</v>
      </c>
      <c r="F29" s="206" t="s">
        <v>83</v>
      </c>
      <c r="G29" s="206" t="s">
        <v>91</v>
      </c>
      <c r="H29" s="206" t="s">
        <v>1032</v>
      </c>
      <c r="I29" s="206" t="s">
        <v>100</v>
      </c>
      <c r="J29" s="136">
        <v>50</v>
      </c>
      <c r="K29" s="136">
        <v>6</v>
      </c>
      <c r="L29" s="206">
        <v>1</v>
      </c>
      <c r="M29" s="136" t="s">
        <v>604</v>
      </c>
      <c r="N29" s="136">
        <v>300</v>
      </c>
      <c r="O29" s="136">
        <v>60</v>
      </c>
      <c r="P29" s="348">
        <v>4.4000000000000004</v>
      </c>
      <c r="Q29" s="136" t="s">
        <v>130</v>
      </c>
    </row>
    <row r="30" spans="1:17" ht="13.5" hidden="1" thickBot="1" x14ac:dyDescent="0.25">
      <c r="A30" s="352" t="s">
        <v>553</v>
      </c>
      <c r="B30" s="359" t="str">
        <f>Sprutj!D5</f>
        <v>2-7</v>
      </c>
      <c r="E30" s="136" t="s">
        <v>605</v>
      </c>
      <c r="F30" s="206" t="s">
        <v>606</v>
      </c>
      <c r="G30" s="206" t="s">
        <v>91</v>
      </c>
      <c r="H30" s="206" t="s">
        <v>1032</v>
      </c>
      <c r="I30" s="206" t="s">
        <v>100</v>
      </c>
      <c r="J30" s="136">
        <v>50</v>
      </c>
      <c r="K30" s="136">
        <v>6</v>
      </c>
      <c r="L30" s="206">
        <v>1</v>
      </c>
      <c r="M30" s="136" t="s">
        <v>607</v>
      </c>
      <c r="N30" s="136">
        <v>300</v>
      </c>
      <c r="O30" s="136">
        <v>60</v>
      </c>
      <c r="P30" s="348">
        <v>4.4000000000000004</v>
      </c>
      <c r="Q30" s="136" t="s">
        <v>130</v>
      </c>
    </row>
    <row r="31" spans="1:17" hidden="1" x14ac:dyDescent="0.2">
      <c r="A31" s="351" t="s">
        <v>554</v>
      </c>
      <c r="B31" s="418">
        <f>C161</f>
        <v>0</v>
      </c>
      <c r="E31" s="136" t="s">
        <v>69</v>
      </c>
      <c r="F31" s="206" t="s">
        <v>84</v>
      </c>
      <c r="G31" s="206" t="s">
        <v>96</v>
      </c>
      <c r="H31" s="206" t="s">
        <v>1032</v>
      </c>
      <c r="I31" s="206" t="s">
        <v>100</v>
      </c>
      <c r="J31" s="136">
        <v>50</v>
      </c>
      <c r="K31" s="136">
        <v>8</v>
      </c>
      <c r="L31" s="206">
        <v>12</v>
      </c>
      <c r="M31" s="136" t="s">
        <v>628</v>
      </c>
      <c r="N31" s="136">
        <v>300</v>
      </c>
      <c r="O31" s="136">
        <v>50</v>
      </c>
      <c r="P31" s="348">
        <v>3.3</v>
      </c>
      <c r="Q31" s="136" t="s">
        <v>131</v>
      </c>
    </row>
    <row r="32" spans="1:17" hidden="1" x14ac:dyDescent="0.2">
      <c r="A32" s="351" t="s">
        <v>555</v>
      </c>
      <c r="B32" s="358">
        <f>C165</f>
        <v>0</v>
      </c>
      <c r="E32" s="136" t="s">
        <v>70</v>
      </c>
      <c r="F32" s="206" t="s">
        <v>75</v>
      </c>
      <c r="G32" s="206" t="s">
        <v>96</v>
      </c>
      <c r="H32" s="206" t="s">
        <v>1032</v>
      </c>
      <c r="I32" s="206" t="s">
        <v>100</v>
      </c>
      <c r="J32" s="136">
        <v>46</v>
      </c>
      <c r="K32" s="136">
        <v>6</v>
      </c>
      <c r="L32" s="206"/>
      <c r="M32" s="136" t="s">
        <v>629</v>
      </c>
      <c r="N32" s="136">
        <v>300</v>
      </c>
      <c r="O32" s="136">
        <v>50</v>
      </c>
      <c r="P32" s="348">
        <v>3.3</v>
      </c>
      <c r="Q32" s="136" t="s">
        <v>130</v>
      </c>
    </row>
    <row r="33" spans="1:17" ht="13.5" hidden="1" thickBot="1" x14ac:dyDescent="0.25">
      <c r="A33" s="351" t="s">
        <v>556</v>
      </c>
      <c r="B33" s="360">
        <f>Sprutj!H5</f>
        <v>0</v>
      </c>
      <c r="E33" s="136" t="s">
        <v>633</v>
      </c>
      <c r="F33" s="206" t="s">
        <v>634</v>
      </c>
      <c r="G33" s="206" t="s">
        <v>97</v>
      </c>
      <c r="H33" s="206" t="s">
        <v>1032</v>
      </c>
      <c r="I33" s="206" t="s">
        <v>100</v>
      </c>
      <c r="J33" s="136">
        <v>50</v>
      </c>
      <c r="K33" s="136">
        <v>8</v>
      </c>
      <c r="L33" s="206">
        <v>3</v>
      </c>
      <c r="M33" s="136" t="s">
        <v>635</v>
      </c>
      <c r="N33" s="136">
        <v>400</v>
      </c>
      <c r="O33" s="136">
        <v>50</v>
      </c>
      <c r="P33" s="348">
        <v>4</v>
      </c>
      <c r="Q33" s="136" t="s">
        <v>126</v>
      </c>
    </row>
    <row r="34" spans="1:17" hidden="1" x14ac:dyDescent="0.2">
      <c r="A34" s="350" t="s">
        <v>989</v>
      </c>
      <c r="B34" s="419">
        <f>D161</f>
        <v>0</v>
      </c>
      <c r="E34" s="136" t="s">
        <v>71</v>
      </c>
      <c r="F34" s="206" t="s">
        <v>85</v>
      </c>
      <c r="G34" s="206" t="s">
        <v>97</v>
      </c>
      <c r="H34" s="206" t="s">
        <v>1032</v>
      </c>
      <c r="I34" s="206" t="s">
        <v>100</v>
      </c>
      <c r="J34" s="136">
        <v>50</v>
      </c>
      <c r="K34" s="136">
        <v>8</v>
      </c>
      <c r="L34" s="206">
        <v>1</v>
      </c>
      <c r="M34" s="136" t="s">
        <v>115</v>
      </c>
      <c r="N34" s="136">
        <v>400</v>
      </c>
      <c r="O34" s="136">
        <v>50</v>
      </c>
      <c r="P34" s="348">
        <v>4</v>
      </c>
      <c r="Q34" s="136" t="s">
        <v>126</v>
      </c>
    </row>
    <row r="35" spans="1:17" hidden="1" x14ac:dyDescent="0.2">
      <c r="A35" s="351" t="s">
        <v>990</v>
      </c>
      <c r="B35" s="420">
        <f>D165</f>
        <v>0</v>
      </c>
      <c r="E35" s="136" t="s">
        <v>72</v>
      </c>
      <c r="F35" s="206" t="s">
        <v>86</v>
      </c>
      <c r="G35" s="206" t="s">
        <v>89</v>
      </c>
      <c r="H35" s="206" t="s">
        <v>1032</v>
      </c>
      <c r="I35" s="206" t="s">
        <v>101</v>
      </c>
      <c r="J35" s="136">
        <v>50</v>
      </c>
      <c r="K35" s="136">
        <v>6</v>
      </c>
      <c r="L35" s="206">
        <v>2</v>
      </c>
      <c r="M35" s="136" t="s">
        <v>631</v>
      </c>
      <c r="N35" s="136">
        <v>300</v>
      </c>
      <c r="O35" s="136">
        <v>40</v>
      </c>
      <c r="P35" s="348">
        <v>4</v>
      </c>
      <c r="Q35" s="136" t="s">
        <v>126</v>
      </c>
    </row>
    <row r="36" spans="1:17" ht="13.5" hidden="1" thickBot="1" x14ac:dyDescent="0.25">
      <c r="A36" s="352" t="s">
        <v>991</v>
      </c>
      <c r="B36" s="370">
        <f>Sprutj!L5</f>
        <v>0</v>
      </c>
      <c r="E36" s="136" t="s">
        <v>73</v>
      </c>
      <c r="F36" s="206" t="s">
        <v>87</v>
      </c>
      <c r="G36" s="206" t="s">
        <v>89</v>
      </c>
      <c r="H36" s="206" t="s">
        <v>1032</v>
      </c>
      <c r="I36" s="206" t="s">
        <v>105</v>
      </c>
      <c r="J36" s="136">
        <v>50</v>
      </c>
      <c r="K36" s="136">
        <v>8</v>
      </c>
      <c r="L36" s="206">
        <v>1</v>
      </c>
      <c r="M36" s="136" t="s">
        <v>632</v>
      </c>
      <c r="N36" s="136">
        <v>400</v>
      </c>
      <c r="O36" s="136">
        <v>40</v>
      </c>
      <c r="P36" s="348">
        <v>4</v>
      </c>
      <c r="Q36" s="136" t="s">
        <v>125</v>
      </c>
    </row>
    <row r="37" spans="1:17" hidden="1" x14ac:dyDescent="0.2">
      <c r="A37" s="351" t="s">
        <v>992</v>
      </c>
      <c r="B37" s="419">
        <f>E161</f>
        <v>0</v>
      </c>
      <c r="E37" s="90"/>
      <c r="F37" s="90"/>
      <c r="G37" s="90"/>
      <c r="K37" s="7"/>
      <c r="L37" s="7"/>
      <c r="N37" s="90"/>
      <c r="P37" s="7"/>
    </row>
    <row r="38" spans="1:17" hidden="1" x14ac:dyDescent="0.2">
      <c r="A38" s="351" t="s">
        <v>993</v>
      </c>
      <c r="B38" s="420">
        <f>E165</f>
        <v>0</v>
      </c>
      <c r="E38" s="90"/>
      <c r="F38" s="90"/>
      <c r="G38" s="90"/>
      <c r="K38" s="7"/>
      <c r="L38" s="7"/>
      <c r="N38" s="90"/>
      <c r="P38" s="7"/>
    </row>
    <row r="39" spans="1:17" ht="13.5" hidden="1" thickBot="1" x14ac:dyDescent="0.25">
      <c r="A39" s="352" t="s">
        <v>994</v>
      </c>
      <c r="B39" s="370">
        <f>Sprutj!P5</f>
        <v>0</v>
      </c>
      <c r="E39" s="90"/>
      <c r="F39" s="90"/>
      <c r="G39" s="90"/>
      <c r="K39" s="7"/>
      <c r="L39" s="7"/>
      <c r="N39" s="90"/>
      <c r="P39" s="7"/>
    </row>
    <row r="40" spans="1:17" ht="13.5" hidden="1" thickBot="1" x14ac:dyDescent="0.25">
      <c r="A40" s="353" t="s">
        <v>557</v>
      </c>
      <c r="B40" s="361"/>
      <c r="D40" s="206" t="s">
        <v>133</v>
      </c>
      <c r="E40" s="206" t="s">
        <v>133</v>
      </c>
      <c r="F40" s="421">
        <v>0</v>
      </c>
      <c r="H40" s="7"/>
      <c r="I40" s="7"/>
      <c r="J40" s="7"/>
      <c r="K40" s="7"/>
      <c r="L40" s="7"/>
      <c r="N40" s="90"/>
      <c r="P40" s="7"/>
    </row>
    <row r="41" spans="1:17" hidden="1" x14ac:dyDescent="0.2">
      <c r="A41" s="354" t="s">
        <v>558</v>
      </c>
      <c r="B41" s="362">
        <f>Fältkort!X87</f>
        <v>0</v>
      </c>
      <c r="D41" s="206" t="s">
        <v>379</v>
      </c>
      <c r="E41" s="206" t="s">
        <v>301</v>
      </c>
      <c r="F41" s="421">
        <v>22.5</v>
      </c>
      <c r="H41" s="7"/>
      <c r="I41" s="7"/>
      <c r="J41" s="7"/>
      <c r="K41" s="7"/>
      <c r="L41" s="7"/>
      <c r="N41" s="90"/>
      <c r="P41" s="7"/>
    </row>
    <row r="42" spans="1:17" hidden="1" x14ac:dyDescent="0.2">
      <c r="A42" s="355" t="s">
        <v>559</v>
      </c>
      <c r="B42" s="175">
        <f>IF(ISTEXT(Fältkort!X88),Fältkort!X88,IF(ISTEXT(Fältkort!AB88),Fältkort!AB88,Fältkort!AG88))</f>
        <v>0</v>
      </c>
      <c r="D42" s="206" t="s">
        <v>380</v>
      </c>
      <c r="E42" s="206" t="s">
        <v>314</v>
      </c>
      <c r="F42" s="421">
        <v>-22.5</v>
      </c>
      <c r="H42" s="7"/>
      <c r="I42" s="7"/>
      <c r="J42" s="7"/>
      <c r="K42" s="7"/>
      <c r="L42" s="7"/>
      <c r="N42" s="90"/>
      <c r="P42" s="7"/>
    </row>
    <row r="43" spans="1:17" ht="13.5" hidden="1" thickBot="1" x14ac:dyDescent="0.25">
      <c r="A43" s="356" t="s">
        <v>560</v>
      </c>
      <c r="B43" s="175">
        <f>Fältkort!X89</f>
        <v>0</v>
      </c>
      <c r="D43" s="206" t="s">
        <v>381</v>
      </c>
      <c r="E43" s="206" t="s">
        <v>302</v>
      </c>
      <c r="F43" s="421">
        <v>45</v>
      </c>
      <c r="H43" s="7"/>
      <c r="I43" s="7"/>
      <c r="J43" s="7"/>
      <c r="K43" s="7"/>
      <c r="L43" s="7"/>
      <c r="N43" s="90"/>
      <c r="P43" s="7"/>
    </row>
    <row r="44" spans="1:17" hidden="1" x14ac:dyDescent="0.2">
      <c r="A44" s="355" t="s">
        <v>558</v>
      </c>
      <c r="B44" s="362">
        <f>Fältkort!X90</f>
        <v>0</v>
      </c>
      <c r="D44" s="206" t="s">
        <v>382</v>
      </c>
      <c r="E44" s="206" t="s">
        <v>313</v>
      </c>
      <c r="F44" s="421">
        <v>-45</v>
      </c>
      <c r="H44" s="7"/>
      <c r="I44" s="7"/>
      <c r="J44" s="7"/>
      <c r="K44" s="7"/>
      <c r="L44" s="7"/>
      <c r="N44" s="90"/>
      <c r="P44" s="7"/>
    </row>
    <row r="45" spans="1:17" hidden="1" x14ac:dyDescent="0.2">
      <c r="A45" s="355" t="s">
        <v>559</v>
      </c>
      <c r="B45" s="175">
        <f>IF(ISTEXT(Fältkort!X91),Fältkort!X91,IF(ISTEXT(Fältkort!AB91),Fältkort!AB91,Fältkort!AG91))</f>
        <v>0</v>
      </c>
      <c r="D45" s="206" t="s">
        <v>383</v>
      </c>
      <c r="E45" s="206" t="s">
        <v>304</v>
      </c>
      <c r="F45" s="421">
        <v>90</v>
      </c>
      <c r="H45" s="7"/>
      <c r="I45" s="7"/>
      <c r="J45" s="7"/>
      <c r="K45" s="7"/>
      <c r="L45" s="7"/>
      <c r="N45" s="90"/>
      <c r="P45" s="7"/>
    </row>
    <row r="46" spans="1:17" ht="13.5" hidden="1" thickBot="1" x14ac:dyDescent="0.25">
      <c r="A46" s="355" t="s">
        <v>560</v>
      </c>
      <c r="B46" s="175">
        <f>Fältkort!X92</f>
        <v>0</v>
      </c>
      <c r="D46" s="206" t="s">
        <v>384</v>
      </c>
      <c r="E46" s="206" t="s">
        <v>303</v>
      </c>
      <c r="F46" s="421">
        <v>67.5</v>
      </c>
      <c r="H46" s="7"/>
      <c r="I46" s="7"/>
      <c r="J46" s="7"/>
      <c r="K46" s="7"/>
      <c r="L46" s="7"/>
      <c r="N46" s="90"/>
      <c r="P46" s="7"/>
    </row>
    <row r="47" spans="1:17" hidden="1" x14ac:dyDescent="0.2">
      <c r="A47" s="354" t="s">
        <v>558</v>
      </c>
      <c r="B47" s="362">
        <f>Fältkort!X93</f>
        <v>0</v>
      </c>
      <c r="D47" s="206" t="s">
        <v>385</v>
      </c>
      <c r="E47" s="206" t="s">
        <v>305</v>
      </c>
      <c r="F47" s="421">
        <v>112.5</v>
      </c>
      <c r="H47" s="7"/>
      <c r="I47" s="7"/>
      <c r="J47" s="7"/>
      <c r="K47" s="7"/>
      <c r="L47" s="7"/>
      <c r="N47" s="90"/>
      <c r="P47" s="7"/>
    </row>
    <row r="48" spans="1:17" hidden="1" x14ac:dyDescent="0.2">
      <c r="A48" s="355" t="s">
        <v>559</v>
      </c>
      <c r="B48" s="175">
        <f>IF(ISTEXT(Fältkort!X94),Fältkort!X94,IF(ISTEXT(Fältkort!AB94),Fältkort!AB94,Fältkort!AG94))</f>
        <v>0</v>
      </c>
      <c r="D48" s="206" t="s">
        <v>308</v>
      </c>
      <c r="E48" s="206" t="s">
        <v>308</v>
      </c>
      <c r="F48" s="421">
        <v>180</v>
      </c>
      <c r="H48" s="7"/>
      <c r="I48" s="7"/>
      <c r="J48" s="7"/>
      <c r="K48" s="7"/>
      <c r="L48" s="7"/>
      <c r="N48" s="90"/>
      <c r="P48" s="7"/>
    </row>
    <row r="49" spans="1:16" ht="13.5" hidden="1" thickBot="1" x14ac:dyDescent="0.25">
      <c r="A49" s="356" t="s">
        <v>560</v>
      </c>
      <c r="B49" s="175">
        <f>Fältkort!X95</f>
        <v>0</v>
      </c>
      <c r="D49" s="206" t="s">
        <v>386</v>
      </c>
      <c r="E49" s="206" t="s">
        <v>306</v>
      </c>
      <c r="F49" s="421">
        <v>135</v>
      </c>
      <c r="H49" s="7"/>
      <c r="I49" s="7"/>
      <c r="J49" s="7"/>
      <c r="K49" s="7"/>
      <c r="L49" s="7"/>
      <c r="N49" s="90"/>
      <c r="P49" s="7"/>
    </row>
    <row r="50" spans="1:16" hidden="1" x14ac:dyDescent="0.2">
      <c r="A50" s="355" t="s">
        <v>558</v>
      </c>
      <c r="B50" s="362">
        <f>Fältkort!X96</f>
        <v>0</v>
      </c>
      <c r="D50" s="206" t="s">
        <v>387</v>
      </c>
      <c r="E50" s="206" t="s">
        <v>309</v>
      </c>
      <c r="F50" s="421">
        <v>-157.5</v>
      </c>
      <c r="H50" s="7"/>
      <c r="I50" s="7"/>
      <c r="J50" s="7"/>
      <c r="K50" s="7"/>
      <c r="L50" s="7"/>
      <c r="N50" s="90"/>
      <c r="P50" s="7"/>
    </row>
    <row r="51" spans="1:16" hidden="1" x14ac:dyDescent="0.2">
      <c r="A51" s="355" t="s">
        <v>559</v>
      </c>
      <c r="B51" s="175">
        <f>IF(ISTEXT(Fältkort!X97),Fältkort!X97,IF(ISTEXT(Fältkort!AB97),Fältkort!AB97,Fältkort!AG97))</f>
        <v>0</v>
      </c>
      <c r="D51" s="206" t="s">
        <v>388</v>
      </c>
      <c r="E51" s="206" t="s">
        <v>307</v>
      </c>
      <c r="F51" s="421">
        <v>157.5</v>
      </c>
      <c r="H51" s="7"/>
      <c r="I51" s="7"/>
      <c r="J51" s="7"/>
      <c r="K51" s="7"/>
      <c r="L51" s="7"/>
      <c r="N51" s="90"/>
      <c r="P51" s="7"/>
    </row>
    <row r="52" spans="1:16" ht="13.5" hidden="1" thickBot="1" x14ac:dyDescent="0.25">
      <c r="A52" s="355" t="s">
        <v>560</v>
      </c>
      <c r="B52" s="175">
        <f>Fältkort!X98</f>
        <v>0</v>
      </c>
      <c r="D52" s="206" t="s">
        <v>389</v>
      </c>
      <c r="E52" s="206" t="s">
        <v>310</v>
      </c>
      <c r="F52" s="421">
        <v>-135</v>
      </c>
      <c r="H52" s="7"/>
      <c r="I52" s="7"/>
      <c r="J52" s="7"/>
      <c r="K52" s="7"/>
      <c r="L52" s="7"/>
      <c r="N52" s="90"/>
      <c r="P52" s="7"/>
    </row>
    <row r="53" spans="1:16" hidden="1" x14ac:dyDescent="0.2">
      <c r="A53" s="354" t="s">
        <v>558</v>
      </c>
      <c r="B53" s="362">
        <f>Fältkort!X99</f>
        <v>0</v>
      </c>
      <c r="D53" s="206" t="s">
        <v>390</v>
      </c>
      <c r="E53" s="206" t="s">
        <v>378</v>
      </c>
      <c r="F53" s="421">
        <v>-90</v>
      </c>
      <c r="H53" s="7"/>
      <c r="I53" s="7"/>
      <c r="J53" s="7"/>
      <c r="K53" s="7"/>
      <c r="L53" s="7"/>
      <c r="N53" s="90"/>
      <c r="P53" s="7"/>
    </row>
    <row r="54" spans="1:16" hidden="1" x14ac:dyDescent="0.2">
      <c r="A54" s="355" t="s">
        <v>559</v>
      </c>
      <c r="B54" s="175">
        <f>IF(ISTEXT(Fältkort!X100),Fältkort!X100,IF(ISTEXT(Fältkort!AB100),Fältkort!AB100,Fältkort!AG100))</f>
        <v>0</v>
      </c>
      <c r="D54" s="206" t="s">
        <v>391</v>
      </c>
      <c r="E54" s="206" t="s">
        <v>312</v>
      </c>
      <c r="F54" s="421">
        <v>-67.5</v>
      </c>
      <c r="H54" s="7"/>
      <c r="I54" s="7"/>
      <c r="J54" s="7"/>
      <c r="K54" s="7"/>
      <c r="L54" s="7"/>
      <c r="N54" s="90"/>
      <c r="P54" s="7"/>
    </row>
    <row r="55" spans="1:16" ht="13.5" hidden="1" thickBot="1" x14ac:dyDescent="0.25">
      <c r="A55" s="356" t="s">
        <v>560</v>
      </c>
      <c r="B55" s="175">
        <f>Fältkort!X101</f>
        <v>0</v>
      </c>
      <c r="D55" s="206" t="s">
        <v>392</v>
      </c>
      <c r="E55" s="206" t="s">
        <v>311</v>
      </c>
      <c r="F55" s="421">
        <v>-112.5</v>
      </c>
      <c r="H55" s="7"/>
      <c r="I55" s="7"/>
      <c r="J55" s="7"/>
      <c r="K55" s="7"/>
      <c r="L55" s="7"/>
      <c r="N55" s="90"/>
      <c r="P55" s="7"/>
    </row>
    <row r="56" spans="1:16" hidden="1" x14ac:dyDescent="0.2">
      <c r="A56" s="355" t="s">
        <v>558</v>
      </c>
      <c r="B56" s="362">
        <f>Fältkort!X102</f>
        <v>0</v>
      </c>
      <c r="H56" s="7"/>
      <c r="I56" s="7"/>
      <c r="J56" s="7"/>
      <c r="K56" s="7"/>
      <c r="L56" s="7"/>
      <c r="N56" s="90"/>
      <c r="P56" s="7"/>
    </row>
    <row r="57" spans="1:16" hidden="1" x14ac:dyDescent="0.2">
      <c r="A57" s="355" t="s">
        <v>559</v>
      </c>
      <c r="B57" s="175">
        <f>IF(ISTEXT(Fältkort!X103),Fältkort!X103,IF(ISTEXT(Fältkort!AB103),Fältkort!AB103,Fältkort!AG103))</f>
        <v>0</v>
      </c>
      <c r="D57" s="136" t="s">
        <v>449</v>
      </c>
      <c r="E57" s="136" t="s">
        <v>888</v>
      </c>
      <c r="F57" s="136"/>
      <c r="H57" s="7"/>
      <c r="I57" s="7"/>
      <c r="J57" s="7"/>
      <c r="K57" s="7"/>
      <c r="L57" s="7"/>
      <c r="N57" s="90"/>
      <c r="P57" s="7"/>
    </row>
    <row r="58" spans="1:16" ht="13.5" hidden="1" thickBot="1" x14ac:dyDescent="0.25">
      <c r="A58" s="356" t="s">
        <v>560</v>
      </c>
      <c r="B58" s="175">
        <f>Fältkort!X104</f>
        <v>0</v>
      </c>
      <c r="D58" s="136" t="s">
        <v>889</v>
      </c>
      <c r="E58" s="136" t="s">
        <v>890</v>
      </c>
      <c r="F58" s="136"/>
      <c r="H58" s="7"/>
      <c r="I58" s="7"/>
      <c r="J58" s="7"/>
      <c r="K58" s="7"/>
      <c r="L58" s="7"/>
      <c r="N58" s="90"/>
      <c r="P58" s="7"/>
    </row>
    <row r="59" spans="1:16" hidden="1" x14ac:dyDescent="0.2">
      <c r="A59" s="354" t="s">
        <v>558</v>
      </c>
      <c r="B59" s="362">
        <f>Fältkort!X105</f>
        <v>0</v>
      </c>
      <c r="D59" s="136" t="s">
        <v>611</v>
      </c>
      <c r="E59" s="136" t="s">
        <v>891</v>
      </c>
      <c r="F59" s="136"/>
      <c r="H59" s="7"/>
      <c r="I59" s="7"/>
      <c r="J59" s="7"/>
      <c r="K59" s="7"/>
      <c r="L59" s="7"/>
      <c r="N59" s="90"/>
      <c r="P59" s="7"/>
    </row>
    <row r="60" spans="1:16" hidden="1" x14ac:dyDescent="0.2">
      <c r="A60" s="355" t="s">
        <v>559</v>
      </c>
      <c r="B60" s="175">
        <f>IF(ISTEXT(Fältkort!X106),Fältkort!X106,IF(ISTEXT(Fältkort!AB106),Fältkort!AB106,Fältkort!AG106))</f>
        <v>0</v>
      </c>
      <c r="D60" s="136" t="s">
        <v>251</v>
      </c>
      <c r="E60" s="136" t="s">
        <v>892</v>
      </c>
      <c r="F60" s="136"/>
      <c r="H60" s="7"/>
      <c r="I60" s="7"/>
      <c r="J60" s="7"/>
      <c r="K60" s="7"/>
      <c r="L60" s="7"/>
      <c r="N60" s="90"/>
      <c r="P60" s="7"/>
    </row>
    <row r="61" spans="1:16" ht="13.5" hidden="1" thickBot="1" x14ac:dyDescent="0.25">
      <c r="A61" s="356" t="s">
        <v>560</v>
      </c>
      <c r="B61" s="175">
        <f>Fältkort!X107</f>
        <v>0</v>
      </c>
      <c r="D61" s="136" t="s">
        <v>247</v>
      </c>
      <c r="E61" s="136" t="s">
        <v>893</v>
      </c>
      <c r="F61" s="136"/>
      <c r="H61" s="7"/>
      <c r="I61" s="7"/>
      <c r="J61" s="7"/>
      <c r="K61" s="7"/>
      <c r="L61" s="7"/>
      <c r="N61" s="90"/>
      <c r="P61" s="7"/>
    </row>
    <row r="62" spans="1:16" hidden="1" x14ac:dyDescent="0.2">
      <c r="A62" s="355" t="s">
        <v>558</v>
      </c>
      <c r="B62" s="362">
        <f>Fältkort!X108</f>
        <v>0</v>
      </c>
      <c r="D62" s="136" t="s">
        <v>45</v>
      </c>
      <c r="E62" s="136" t="s">
        <v>894</v>
      </c>
      <c r="F62" s="136"/>
      <c r="H62" s="7"/>
      <c r="I62" s="7"/>
      <c r="J62" s="7"/>
      <c r="K62" s="7"/>
      <c r="L62" s="7"/>
      <c r="N62" s="90"/>
      <c r="P62" s="7"/>
    </row>
    <row r="63" spans="1:16" hidden="1" x14ac:dyDescent="0.2">
      <c r="A63" s="355" t="s">
        <v>559</v>
      </c>
      <c r="B63" s="175">
        <f>IF(ISTEXT(Fältkort!X109),Fältkort!X109,IF(ISTEXT(Fältkort!AB109),Fältkort!AB109,Fältkort!AG109))</f>
        <v>0</v>
      </c>
      <c r="D63" s="136" t="s">
        <v>895</v>
      </c>
      <c r="E63" s="136" t="s">
        <v>935</v>
      </c>
      <c r="F63" s="136"/>
      <c r="H63" s="7"/>
      <c r="I63" s="7"/>
      <c r="J63" s="7"/>
      <c r="K63" s="7"/>
      <c r="L63" s="7"/>
      <c r="N63" s="90"/>
      <c r="P63" s="7"/>
    </row>
    <row r="64" spans="1:16" ht="13.5" hidden="1" thickBot="1" x14ac:dyDescent="0.25">
      <c r="A64" s="356" t="s">
        <v>560</v>
      </c>
      <c r="B64" s="175">
        <f>Fältkort!X110</f>
        <v>0</v>
      </c>
      <c r="D64" s="136" t="s">
        <v>194</v>
      </c>
      <c r="E64" s="136" t="s">
        <v>1040</v>
      </c>
      <c r="F64" s="136"/>
      <c r="H64" s="7"/>
      <c r="I64" s="7"/>
      <c r="J64" s="7"/>
      <c r="K64" s="7"/>
      <c r="L64" s="7"/>
      <c r="N64" s="90"/>
      <c r="P64" s="7"/>
    </row>
    <row r="65" spans="1:26" hidden="1" x14ac:dyDescent="0.2">
      <c r="A65" s="354" t="s">
        <v>558</v>
      </c>
      <c r="B65" s="362">
        <f>Fältkort!X111</f>
        <v>0</v>
      </c>
      <c r="D65" s="136" t="s">
        <v>446</v>
      </c>
      <c r="E65" s="136" t="s">
        <v>896</v>
      </c>
      <c r="F65" s="136"/>
      <c r="H65" s="7"/>
      <c r="I65" s="7"/>
      <c r="J65" s="7"/>
      <c r="K65" s="7"/>
      <c r="L65" s="7"/>
      <c r="N65" s="90"/>
      <c r="P65" s="7"/>
    </row>
    <row r="66" spans="1:26" hidden="1" x14ac:dyDescent="0.2">
      <c r="A66" s="355" t="s">
        <v>559</v>
      </c>
      <c r="B66" s="175">
        <f>IF(ISTEXT(Fältkort!X112),Fältkort!X112,IF(ISTEXT(Fältkort!AB112),Fältkort!AB112,Fältkort!AG112))</f>
        <v>0</v>
      </c>
      <c r="D66" s="136" t="s">
        <v>255</v>
      </c>
      <c r="E66" s="136" t="s">
        <v>897</v>
      </c>
      <c r="F66" s="136"/>
      <c r="H66" s="7"/>
      <c r="I66" s="7"/>
      <c r="J66" s="7"/>
      <c r="K66" s="7"/>
      <c r="L66" s="7"/>
      <c r="N66" s="90"/>
      <c r="P66" s="7"/>
    </row>
    <row r="67" spans="1:26" ht="13.5" hidden="1" thickBot="1" x14ac:dyDescent="0.25">
      <c r="A67" s="356" t="s">
        <v>560</v>
      </c>
      <c r="B67" s="175">
        <f>Fältkort!X113</f>
        <v>0</v>
      </c>
      <c r="D67" s="136" t="s">
        <v>610</v>
      </c>
      <c r="E67" s="136" t="s">
        <v>898</v>
      </c>
      <c r="F67" s="136"/>
      <c r="H67" s="7"/>
      <c r="I67" s="7"/>
      <c r="J67" s="7"/>
      <c r="K67" s="7"/>
      <c r="L67" s="7"/>
      <c r="N67" s="90"/>
      <c r="P67" s="7"/>
    </row>
    <row r="68" spans="1:26" hidden="1" x14ac:dyDescent="0.2">
      <c r="A68" s="355" t="s">
        <v>558</v>
      </c>
      <c r="B68" s="362">
        <f>Fältkort!X114</f>
        <v>0</v>
      </c>
      <c r="D68" s="136" t="s">
        <v>448</v>
      </c>
      <c r="E68" s="136" t="s">
        <v>899</v>
      </c>
      <c r="F68" s="136"/>
      <c r="H68" s="7"/>
      <c r="I68" s="7"/>
      <c r="J68" s="7"/>
      <c r="K68" s="7"/>
      <c r="L68" s="7"/>
      <c r="N68" s="90"/>
      <c r="P68" s="7"/>
    </row>
    <row r="69" spans="1:26" hidden="1" x14ac:dyDescent="0.2">
      <c r="A69" s="355" t="s">
        <v>559</v>
      </c>
      <c r="B69" s="175">
        <f>IF(ISTEXT(Fältkort!X115),Fältkort!X115,IF(ISTEXT(Fältkort!AB115),Fältkort!AB115,Fältkort!AG115))</f>
        <v>0</v>
      </c>
      <c r="D69" s="136" t="s">
        <v>447</v>
      </c>
      <c r="E69" s="136" t="s">
        <v>447</v>
      </c>
      <c r="F69" s="136"/>
      <c r="H69" s="7"/>
      <c r="I69" s="7"/>
      <c r="J69" s="7"/>
      <c r="K69" s="7"/>
      <c r="L69" s="7"/>
      <c r="N69" s="90"/>
      <c r="P69" s="7"/>
      <c r="T69" s="389"/>
      <c r="U69" s="389"/>
      <c r="Y69" s="389"/>
      <c r="Z69" s="389"/>
    </row>
    <row r="70" spans="1:26" ht="13.5" hidden="1" thickBot="1" x14ac:dyDescent="0.25">
      <c r="A70" s="356" t="s">
        <v>560</v>
      </c>
      <c r="B70" s="175">
        <f>Fältkort!X116</f>
        <v>0</v>
      </c>
      <c r="D70" s="136" t="s">
        <v>900</v>
      </c>
      <c r="E70" s="136" t="s">
        <v>901</v>
      </c>
      <c r="F70" s="136"/>
      <c r="H70" s="7"/>
      <c r="I70" s="7"/>
      <c r="J70" s="7"/>
      <c r="K70" s="7"/>
      <c r="L70" s="7"/>
      <c r="N70" s="90"/>
      <c r="P70" s="7"/>
      <c r="T70" s="348"/>
      <c r="U70" s="136"/>
      <c r="Y70" s="136"/>
      <c r="Z70" s="136"/>
    </row>
    <row r="71" spans="1:26" hidden="1" x14ac:dyDescent="0.2">
      <c r="A71" s="371" t="s">
        <v>995</v>
      </c>
      <c r="B71" s="175">
        <f>Fältkort!S118</f>
        <v>0</v>
      </c>
      <c r="D71" s="136" t="s">
        <v>202</v>
      </c>
      <c r="E71" s="136" t="s">
        <v>902</v>
      </c>
      <c r="F71" s="136"/>
      <c r="H71" s="7"/>
      <c r="I71" s="7"/>
      <c r="J71" s="7"/>
      <c r="K71" s="7"/>
      <c r="L71" s="7"/>
      <c r="N71" s="90"/>
      <c r="P71" s="7"/>
      <c r="T71" s="348"/>
      <c r="U71" s="136"/>
      <c r="Y71" s="136"/>
      <c r="Z71" s="136"/>
    </row>
    <row r="72" spans="1:26" hidden="1" x14ac:dyDescent="0.2">
      <c r="A72" s="371" t="s">
        <v>995</v>
      </c>
      <c r="B72" s="175">
        <f>Fältkort!S119</f>
        <v>0</v>
      </c>
      <c r="D72" s="136" t="s">
        <v>640</v>
      </c>
      <c r="E72" s="136" t="s">
        <v>917</v>
      </c>
      <c r="F72" s="136"/>
      <c r="H72" s="7"/>
      <c r="I72" s="7"/>
      <c r="J72" s="7"/>
      <c r="K72" s="7"/>
      <c r="L72" s="7"/>
      <c r="N72" s="90"/>
      <c r="P72" s="7"/>
      <c r="T72" s="348"/>
      <c r="U72" s="136"/>
      <c r="Y72" s="136"/>
      <c r="Z72" s="136"/>
    </row>
    <row r="73" spans="1:26" hidden="1" x14ac:dyDescent="0.2">
      <c r="A73" s="371" t="s">
        <v>995</v>
      </c>
      <c r="B73" s="175">
        <f>Fältkort!S120</f>
        <v>0</v>
      </c>
      <c r="D73" s="136" t="s">
        <v>200</v>
      </c>
      <c r="E73" s="136" t="s">
        <v>903</v>
      </c>
      <c r="F73" s="136"/>
      <c r="H73" s="7"/>
      <c r="I73" s="7"/>
      <c r="J73" s="7"/>
      <c r="K73" s="7"/>
      <c r="L73" s="7"/>
      <c r="N73" s="90"/>
      <c r="P73" s="7"/>
      <c r="T73" s="348"/>
      <c r="U73" s="136"/>
      <c r="Y73" s="136"/>
      <c r="Z73" s="136"/>
    </row>
    <row r="74" spans="1:26" hidden="1" x14ac:dyDescent="0.2">
      <c r="A74" s="355" t="s">
        <v>608</v>
      </c>
      <c r="B74" s="27">
        <f>Fältkort!H114</f>
        <v>0</v>
      </c>
      <c r="D74" s="136" t="s">
        <v>904</v>
      </c>
      <c r="E74" s="136" t="s">
        <v>905</v>
      </c>
      <c r="F74" s="136"/>
      <c r="H74" s="7"/>
      <c r="I74" s="7"/>
      <c r="J74" s="7"/>
      <c r="K74" s="7"/>
      <c r="L74" s="7"/>
      <c r="N74" s="90"/>
      <c r="P74" s="7"/>
      <c r="T74" s="348"/>
      <c r="U74" s="136"/>
      <c r="Y74" s="136"/>
      <c r="Z74" s="136"/>
    </row>
    <row r="75" spans="1:26" hidden="1" x14ac:dyDescent="0.2">
      <c r="A75" s="357" t="s">
        <v>289</v>
      </c>
      <c r="B75" s="174">
        <f>Fältkort!H110</f>
        <v>3</v>
      </c>
      <c r="D75" s="136" t="s">
        <v>248</v>
      </c>
      <c r="E75" s="136" t="s">
        <v>906</v>
      </c>
      <c r="F75" s="136"/>
      <c r="H75" s="7"/>
      <c r="I75" s="7"/>
      <c r="J75" s="7"/>
      <c r="K75" s="7"/>
      <c r="L75" s="7"/>
      <c r="N75" s="90"/>
      <c r="P75" s="7"/>
      <c r="T75" s="348"/>
      <c r="U75" s="136"/>
      <c r="Y75" s="136"/>
      <c r="Z75" s="136"/>
    </row>
    <row r="76" spans="1:26" hidden="1" x14ac:dyDescent="0.2">
      <c r="A76" s="357" t="s">
        <v>290</v>
      </c>
      <c r="B76" s="174">
        <f>Fältkort!H111</f>
        <v>12</v>
      </c>
      <c r="D76" s="136" t="s">
        <v>254</v>
      </c>
      <c r="E76" s="136" t="s">
        <v>907</v>
      </c>
      <c r="F76" s="136"/>
      <c r="H76" s="7"/>
      <c r="I76" s="7"/>
      <c r="J76" s="7"/>
      <c r="K76" s="7"/>
      <c r="L76" s="7"/>
      <c r="N76" s="90"/>
      <c r="P76" s="7"/>
      <c r="T76" s="348"/>
      <c r="U76" s="136"/>
      <c r="Y76" s="136"/>
      <c r="Z76" s="136"/>
    </row>
    <row r="77" spans="1:26" hidden="1" x14ac:dyDescent="0.2">
      <c r="A77" s="357" t="s">
        <v>561</v>
      </c>
      <c r="B77" s="174" t="str">
        <f>Fältkort!H112</f>
        <v>2.04</v>
      </c>
      <c r="D77" s="136" t="s">
        <v>908</v>
      </c>
      <c r="E77" s="136" t="s">
        <v>909</v>
      </c>
      <c r="F77" s="136"/>
      <c r="H77" s="7"/>
      <c r="I77" s="7"/>
      <c r="J77" s="7"/>
      <c r="K77" s="7"/>
      <c r="L77" s="7"/>
      <c r="N77" s="90"/>
      <c r="P77" s="7"/>
      <c r="T77" s="348"/>
      <c r="U77" s="136"/>
      <c r="Y77" s="136"/>
      <c r="Z77" s="136"/>
    </row>
    <row r="78" spans="1:26" hidden="1" x14ac:dyDescent="0.2">
      <c r="A78" s="357" t="s">
        <v>562</v>
      </c>
      <c r="B78" s="174">
        <f>Fältkort!H113</f>
        <v>8</v>
      </c>
      <c r="D78" s="136" t="s">
        <v>910</v>
      </c>
      <c r="E78" s="136" t="s">
        <v>911</v>
      </c>
      <c r="F78" s="136"/>
      <c r="H78" s="7"/>
      <c r="I78" s="7"/>
      <c r="J78" s="7"/>
      <c r="K78" s="7"/>
      <c r="L78" s="7"/>
      <c r="N78" s="90"/>
      <c r="P78" s="7"/>
      <c r="T78" s="348"/>
      <c r="U78" s="136"/>
      <c r="Y78" s="136"/>
      <c r="Z78" s="136"/>
    </row>
    <row r="79" spans="1:26" hidden="1" x14ac:dyDescent="0.2">
      <c r="A79" s="159" t="s">
        <v>563</v>
      </c>
      <c r="B79" s="174" t="e">
        <f>VLOOKUP(Fältkort!H105,D40:F55,3)</f>
        <v>#N/A</v>
      </c>
      <c r="D79" s="136" t="s">
        <v>535</v>
      </c>
      <c r="E79" s="136" t="s">
        <v>912</v>
      </c>
      <c r="F79" s="136"/>
      <c r="H79" s="7"/>
      <c r="I79" s="7"/>
      <c r="J79" s="7"/>
      <c r="K79" s="7"/>
      <c r="L79" s="7"/>
      <c r="N79" s="90"/>
      <c r="P79" s="7"/>
      <c r="T79" s="348"/>
      <c r="U79" s="136"/>
      <c r="Y79" s="136"/>
      <c r="Z79" s="136"/>
    </row>
    <row r="80" spans="1:26" hidden="1" x14ac:dyDescent="0.2">
      <c r="A80" s="11" t="s">
        <v>986</v>
      </c>
      <c r="B80" s="174">
        <f>Fältkort!H109</f>
        <v>0</v>
      </c>
      <c r="D80" s="136" t="s">
        <v>250</v>
      </c>
      <c r="E80" s="136" t="s">
        <v>913</v>
      </c>
      <c r="F80" s="136"/>
      <c r="H80" s="7"/>
      <c r="I80" s="7"/>
      <c r="J80" s="7"/>
      <c r="K80" s="7"/>
      <c r="L80" s="7"/>
      <c r="N80" s="90"/>
      <c r="P80" s="7"/>
      <c r="T80" s="348"/>
      <c r="U80" s="136"/>
      <c r="Y80" s="136"/>
      <c r="Z80" s="136"/>
    </row>
    <row r="81" spans="1:26" hidden="1" x14ac:dyDescent="0.2">
      <c r="A81" s="144" t="str">
        <f>CONCATENATE("Date ",A2)</f>
        <v>Date T1</v>
      </c>
      <c r="B81" s="363">
        <f>VLOOKUP(A$2,$D$2:$L$11,2)</f>
        <v>0</v>
      </c>
      <c r="D81" s="136" t="s">
        <v>252</v>
      </c>
      <c r="E81" s="136" t="s">
        <v>914</v>
      </c>
      <c r="F81" s="136"/>
      <c r="H81" s="7"/>
      <c r="I81" s="7"/>
      <c r="J81" s="7"/>
      <c r="K81" s="7"/>
      <c r="L81" s="7"/>
      <c r="N81" s="90"/>
      <c r="P81" s="7"/>
      <c r="T81" s="348"/>
      <c r="U81" s="136"/>
      <c r="Y81" s="136"/>
      <c r="Z81" s="136"/>
    </row>
    <row r="82" spans="1:26" hidden="1" x14ac:dyDescent="0.2">
      <c r="A82" s="11" t="s">
        <v>15</v>
      </c>
      <c r="B82" s="7">
        <f>VLOOKUP(A$2,$D$2:$L$11,3)</f>
        <v>0</v>
      </c>
      <c r="D82" s="136" t="s">
        <v>195</v>
      </c>
      <c r="E82" s="136" t="s">
        <v>1041</v>
      </c>
      <c r="F82" s="136"/>
      <c r="H82" s="7"/>
      <c r="I82" s="7"/>
      <c r="J82" s="7"/>
      <c r="K82" s="7"/>
      <c r="L82" s="7"/>
      <c r="N82" s="90"/>
      <c r="P82" s="7"/>
      <c r="T82" s="348"/>
      <c r="U82" s="136"/>
      <c r="Y82" s="136"/>
      <c r="Z82" s="136"/>
    </row>
    <row r="83" spans="1:26" hidden="1" x14ac:dyDescent="0.2">
      <c r="A83" s="7" t="str">
        <f>'T1'!C103</f>
        <v>ERYSGR</v>
      </c>
      <c r="B83" s="7" t="str">
        <f>VLOOKUP(A$2,$D$2:$L$11,4)</f>
        <v>0.00-0.00-0.00-0.00</v>
      </c>
      <c r="D83" s="136" t="s">
        <v>249</v>
      </c>
      <c r="E83" s="136" t="s">
        <v>915</v>
      </c>
      <c r="F83" s="136"/>
      <c r="H83" s="7"/>
      <c r="I83" s="7"/>
      <c r="J83" s="7"/>
      <c r="K83" s="7"/>
      <c r="L83" s="7"/>
      <c r="N83" s="90"/>
      <c r="P83" s="7"/>
      <c r="T83" s="348"/>
      <c r="U83" s="136"/>
      <c r="Y83" s="136"/>
      <c r="Z83" s="136"/>
    </row>
    <row r="84" spans="1:26" hidden="1" x14ac:dyDescent="0.2">
      <c r="A84" s="7" t="str">
        <f>'T1'!C104</f>
        <v>PUCCHD</v>
      </c>
      <c r="B84" s="7" t="str">
        <f>VLOOKUP(A$2,$D$2:$L$11,5)</f>
        <v>0.00-0.00-0.00-0.00</v>
      </c>
      <c r="D84" s="136" t="s">
        <v>253</v>
      </c>
      <c r="E84" s="136" t="s">
        <v>916</v>
      </c>
      <c r="F84" s="136"/>
      <c r="H84" s="7"/>
      <c r="I84" s="7"/>
      <c r="J84" s="7"/>
      <c r="K84" s="7"/>
      <c r="L84" s="7"/>
      <c r="N84" s="90"/>
      <c r="P84" s="7"/>
      <c r="T84" s="348"/>
      <c r="U84" s="136"/>
      <c r="Y84" s="136"/>
      <c r="Z84" s="136"/>
    </row>
    <row r="85" spans="1:26" hidden="1" x14ac:dyDescent="0.2">
      <c r="A85" s="7" t="str">
        <f>'T1'!C105</f>
        <v>RHYNSE</v>
      </c>
      <c r="B85" s="7" t="str">
        <f>VLOOKUP(A$2,$D$2:$L$11,6)</f>
        <v>0.00-0.00-0.00-0.00</v>
      </c>
      <c r="H85" s="7"/>
      <c r="I85" s="7"/>
      <c r="J85" s="7"/>
      <c r="K85" s="7"/>
      <c r="L85" s="7"/>
      <c r="N85" s="90"/>
      <c r="P85" s="7"/>
      <c r="T85" s="348"/>
      <c r="U85" s="136"/>
      <c r="Y85" s="136"/>
      <c r="Z85" s="136"/>
    </row>
    <row r="86" spans="1:26" hidden="1" x14ac:dyDescent="0.2">
      <c r="A86" s="7" t="str">
        <f>'T1'!C106</f>
        <v>PYRNTE</v>
      </c>
      <c r="B86" s="7" t="str">
        <f>VLOOKUP(A$2,$D$2:$L$11,7)</f>
        <v>0.00-0.00-0.00-0.00</v>
      </c>
      <c r="H86" s="7"/>
      <c r="I86" s="7"/>
      <c r="J86" s="7"/>
      <c r="K86" s="7"/>
      <c r="L86" s="7"/>
      <c r="N86" s="90"/>
      <c r="P86" s="7"/>
      <c r="T86" s="348"/>
      <c r="U86" s="136"/>
      <c r="Y86" s="136"/>
      <c r="Z86" s="136"/>
    </row>
    <row r="87" spans="1:26" hidden="1" x14ac:dyDescent="0.2">
      <c r="A87" s="7" t="str">
        <f>'T1'!C107</f>
        <v xml:space="preserve">  </v>
      </c>
      <c r="B87" s="7" t="str">
        <f>VLOOKUP(A$2,$D$2:$L$11,8)</f>
        <v>0.00-0.00-0.00-0.00</v>
      </c>
      <c r="H87" s="7"/>
      <c r="I87" s="7"/>
      <c r="J87" s="7"/>
      <c r="K87" s="7"/>
      <c r="L87" s="7"/>
      <c r="N87" s="90"/>
      <c r="P87" s="7"/>
      <c r="T87" s="348"/>
      <c r="U87" s="136"/>
      <c r="Y87" s="136"/>
      <c r="Z87" s="136"/>
    </row>
    <row r="88" spans="1:26" hidden="1" x14ac:dyDescent="0.2">
      <c r="A88" s="11" t="s">
        <v>987</v>
      </c>
      <c r="B88" s="7" t="str">
        <f>VLOOKUP(A$2,$D$2:$L$11,9)</f>
        <v>0.00-0.00-0.00-0.00</v>
      </c>
      <c r="H88" s="7"/>
      <c r="I88" s="7"/>
      <c r="J88" s="7"/>
      <c r="K88" s="7"/>
      <c r="L88" s="7"/>
      <c r="N88" s="90"/>
      <c r="P88" s="7"/>
      <c r="T88" s="348"/>
      <c r="U88" s="136"/>
      <c r="Y88" s="136"/>
      <c r="Z88" s="136"/>
    </row>
    <row r="89" spans="1:26" hidden="1" x14ac:dyDescent="0.2">
      <c r="A89" s="144" t="str">
        <f>CONCATENATE("Date ",A3)</f>
        <v>Date Ob1</v>
      </c>
      <c r="B89" s="363">
        <f>VLOOKUP(A$3,$D$2:$L$11,2)</f>
        <v>0</v>
      </c>
      <c r="H89" s="7"/>
      <c r="I89" s="7"/>
      <c r="J89" s="7"/>
      <c r="K89" s="7"/>
      <c r="L89" s="7"/>
      <c r="N89" s="90"/>
      <c r="P89" s="7"/>
      <c r="T89" s="348"/>
      <c r="U89" s="136"/>
      <c r="Y89" s="136"/>
      <c r="Z89" s="136"/>
    </row>
    <row r="90" spans="1:26" hidden="1" x14ac:dyDescent="0.2">
      <c r="A90" s="11" t="str">
        <f>A82</f>
        <v>BBCH</v>
      </c>
      <c r="B90" s="7">
        <f>VLOOKUP(A$3,$D$2:$L$11,3)</f>
        <v>0</v>
      </c>
      <c r="H90" s="7"/>
      <c r="I90" s="7"/>
      <c r="J90" s="7"/>
      <c r="K90" s="7"/>
      <c r="L90" s="7"/>
      <c r="N90" s="90"/>
      <c r="P90" s="7"/>
      <c r="T90" s="348"/>
      <c r="U90" s="136"/>
      <c r="Y90" s="136"/>
      <c r="Z90" s="136"/>
    </row>
    <row r="91" spans="1:26" hidden="1" x14ac:dyDescent="0.2">
      <c r="A91" s="11" t="str">
        <f t="shared" ref="A91:A96" si="0">A83</f>
        <v>ERYSGR</v>
      </c>
      <c r="B91" s="7" t="str">
        <f>VLOOKUP(A$3,$D$2:$L$11,4)</f>
        <v>0.00-0.00-0.00-0.00</v>
      </c>
      <c r="H91" s="7"/>
      <c r="I91" s="7"/>
      <c r="J91" s="7"/>
      <c r="K91" s="7"/>
      <c r="L91" s="7"/>
      <c r="N91" s="90"/>
      <c r="P91" s="7"/>
      <c r="T91" s="348"/>
      <c r="U91" s="136"/>
      <c r="Y91" s="136"/>
      <c r="Z91" s="136"/>
    </row>
    <row r="92" spans="1:26" hidden="1" x14ac:dyDescent="0.2">
      <c r="A92" s="11" t="str">
        <f t="shared" si="0"/>
        <v>PUCCHD</v>
      </c>
      <c r="B92" s="7" t="str">
        <f>VLOOKUP(A$3,$D$2:$L$11,5)</f>
        <v>0.00-0.00-0.00-0.00</v>
      </c>
      <c r="H92" s="7"/>
      <c r="I92" s="7"/>
      <c r="J92" s="7"/>
      <c r="K92" s="7"/>
      <c r="L92" s="7"/>
      <c r="N92" s="90"/>
      <c r="P92" s="7"/>
      <c r="T92" s="348"/>
      <c r="U92" s="136"/>
      <c r="Y92" s="136"/>
      <c r="Z92" s="136"/>
    </row>
    <row r="93" spans="1:26" hidden="1" x14ac:dyDescent="0.2">
      <c r="A93" s="11" t="str">
        <f t="shared" si="0"/>
        <v>RHYNSE</v>
      </c>
      <c r="B93" s="7" t="str">
        <f>VLOOKUP(A$3,$D$2:$L$11,6)</f>
        <v>0.00-0.00-0.00-0.00</v>
      </c>
      <c r="H93" s="7"/>
      <c r="I93" s="7"/>
      <c r="J93" s="7"/>
      <c r="K93" s="7"/>
      <c r="L93" s="7"/>
      <c r="N93" s="90"/>
      <c r="P93" s="7"/>
      <c r="T93" s="348"/>
      <c r="U93" s="136"/>
      <c r="Y93" s="136"/>
      <c r="Z93" s="136"/>
    </row>
    <row r="94" spans="1:26" hidden="1" x14ac:dyDescent="0.2">
      <c r="A94" s="11" t="str">
        <f t="shared" si="0"/>
        <v>PYRNTE</v>
      </c>
      <c r="B94" s="7" t="str">
        <f>VLOOKUP(A$3,$D$2:$L$11,7)</f>
        <v>0.00-0.00-0.00-0.00</v>
      </c>
      <c r="H94" s="7"/>
      <c r="I94" s="7"/>
      <c r="J94" s="7"/>
      <c r="K94" s="7"/>
      <c r="L94" s="7"/>
      <c r="N94" s="90"/>
      <c r="P94" s="7"/>
    </row>
    <row r="95" spans="1:26" hidden="1" x14ac:dyDescent="0.2">
      <c r="A95" s="11" t="str">
        <f t="shared" si="0"/>
        <v xml:space="preserve">  </v>
      </c>
      <c r="B95" s="7" t="str">
        <f>VLOOKUP(A$3,$D$2:$L$11,8)</f>
        <v>0.00-0.00-0.00-0.00</v>
      </c>
      <c r="H95" s="7"/>
      <c r="I95" s="7"/>
      <c r="J95" s="7"/>
      <c r="K95" s="7"/>
      <c r="L95" s="7"/>
      <c r="N95" s="90"/>
      <c r="P95" s="7"/>
    </row>
    <row r="96" spans="1:26" hidden="1" x14ac:dyDescent="0.2">
      <c r="A96" s="11" t="str">
        <f t="shared" si="0"/>
        <v>Wilted</v>
      </c>
      <c r="B96" s="7" t="str">
        <f>VLOOKUP(A$3,$D$2:$L$11,9)</f>
        <v>0.00-0.00-0.00-0.00</v>
      </c>
      <c r="G96" s="90"/>
      <c r="K96" s="7"/>
      <c r="L96" s="7"/>
      <c r="N96" s="90"/>
      <c r="P96" s="7"/>
    </row>
    <row r="97" spans="1:27" hidden="1" x14ac:dyDescent="0.2">
      <c r="A97" s="144" t="str">
        <f>CONCATENATE("Date ",A4)</f>
        <v>Date Ob2</v>
      </c>
      <c r="B97" s="363">
        <f>VLOOKUP(A$4,$D$2:$L$11,2)</f>
        <v>0</v>
      </c>
      <c r="G97" s="90"/>
      <c r="K97" s="7"/>
      <c r="L97" s="7"/>
      <c r="N97" s="90"/>
      <c r="P97" s="7"/>
    </row>
    <row r="98" spans="1:27" hidden="1" x14ac:dyDescent="0.2">
      <c r="A98" s="11" t="str">
        <f>A90</f>
        <v>BBCH</v>
      </c>
      <c r="B98" s="7">
        <f>VLOOKUP(A$4,$D$2:$L$11,3)</f>
        <v>0</v>
      </c>
      <c r="D98" s="345"/>
      <c r="E98" s="90"/>
      <c r="F98" s="90"/>
      <c r="G98" s="90"/>
      <c r="K98" s="7"/>
      <c r="L98" s="7"/>
      <c r="N98" s="90"/>
      <c r="P98" s="7"/>
    </row>
    <row r="99" spans="1:27" hidden="1" x14ac:dyDescent="0.2">
      <c r="A99" s="11" t="str">
        <f t="shared" ref="A99:A104" si="1">A91</f>
        <v>ERYSGR</v>
      </c>
      <c r="B99" s="7" t="str">
        <f>VLOOKUP(A$4,$D$2:$L$11,4)</f>
        <v>0.00-0.00-0.00-0.00</v>
      </c>
      <c r="D99" s="345"/>
      <c r="E99" s="90"/>
      <c r="F99" s="90"/>
      <c r="G99" s="90"/>
      <c r="K99" s="7"/>
      <c r="L99" s="7"/>
      <c r="N99" s="90"/>
      <c r="P99" s="7"/>
    </row>
    <row r="100" spans="1:27" hidden="1" x14ac:dyDescent="0.2">
      <c r="A100" s="11" t="str">
        <f t="shared" si="1"/>
        <v>PUCCHD</v>
      </c>
      <c r="B100" s="7" t="str">
        <f>VLOOKUP(A$4,$D$2:$L$11,5)</f>
        <v>0.00-0.00-0.00-0.00</v>
      </c>
      <c r="G100" s="90"/>
      <c r="K100" s="7"/>
      <c r="L100" s="7"/>
      <c r="N100" s="90"/>
      <c r="P100" s="7"/>
    </row>
    <row r="101" spans="1:27" hidden="1" x14ac:dyDescent="0.2">
      <c r="A101" s="11" t="str">
        <f t="shared" si="1"/>
        <v>RHYNSE</v>
      </c>
      <c r="B101" s="7" t="str">
        <f>VLOOKUP(A$4,$D$2:$L$11,6)</f>
        <v>0.00-0.00-0.00-0.00</v>
      </c>
      <c r="G101" s="90"/>
      <c r="K101" s="7"/>
      <c r="L101" s="7"/>
      <c r="N101" s="90"/>
      <c r="P101" s="7"/>
    </row>
    <row r="102" spans="1:27" hidden="1" x14ac:dyDescent="0.2">
      <c r="A102" s="11" t="str">
        <f t="shared" si="1"/>
        <v>PYRNTE</v>
      </c>
      <c r="B102" s="7" t="str">
        <f>VLOOKUP(A$4,$D$2:$L$11,7)</f>
        <v>0.00-0.00-0.00-0.00</v>
      </c>
      <c r="G102" s="90"/>
      <c r="K102" s="7"/>
      <c r="L102" s="7"/>
      <c r="N102" s="90"/>
      <c r="P102" s="7"/>
    </row>
    <row r="103" spans="1:27" hidden="1" x14ac:dyDescent="0.2">
      <c r="A103" s="11" t="str">
        <f t="shared" si="1"/>
        <v xml:space="preserve">  </v>
      </c>
      <c r="B103" s="7" t="str">
        <f>VLOOKUP(A$4,$D$2:$L$11,8)</f>
        <v>0.00-0.00-0.00-0.00</v>
      </c>
      <c r="G103" s="90"/>
      <c r="K103" s="7"/>
      <c r="L103" s="7"/>
      <c r="N103" s="90"/>
      <c r="P103" s="7"/>
    </row>
    <row r="104" spans="1:27" hidden="1" x14ac:dyDescent="0.2">
      <c r="A104" s="11" t="str">
        <f t="shared" si="1"/>
        <v>Wilted</v>
      </c>
      <c r="B104" s="7" t="str">
        <f>VLOOKUP(A$4,$D$2:$L$11,9)</f>
        <v>0.00-0.00-0.00-0.00</v>
      </c>
      <c r="G104" s="90"/>
      <c r="K104" s="7"/>
      <c r="L104" s="7"/>
      <c r="N104" s="90"/>
      <c r="P104" s="7"/>
    </row>
    <row r="105" spans="1:27" hidden="1" x14ac:dyDescent="0.2">
      <c r="A105" s="144" t="str">
        <f>CONCATENATE("Date ",A5)</f>
        <v>Date Ob3</v>
      </c>
      <c r="B105" s="363">
        <f>VLOOKUP(A$5,$D$2:$L$11,2)</f>
        <v>0</v>
      </c>
      <c r="G105" s="90"/>
      <c r="K105" s="7"/>
      <c r="L105" s="7"/>
      <c r="N105" s="90"/>
      <c r="P105" s="7"/>
    </row>
    <row r="106" spans="1:27" hidden="1" x14ac:dyDescent="0.2">
      <c r="A106" s="11" t="str">
        <f>A98</f>
        <v>BBCH</v>
      </c>
      <c r="B106" s="7">
        <f>VLOOKUP(A$5,$D$2:$L$11,3)</f>
        <v>0</v>
      </c>
      <c r="G106" s="90"/>
      <c r="K106" s="7"/>
      <c r="L106" s="7"/>
      <c r="N106" s="90"/>
      <c r="P106" s="7"/>
    </row>
    <row r="107" spans="1:27" hidden="1" x14ac:dyDescent="0.2">
      <c r="A107" s="11" t="str">
        <f t="shared" ref="A107:A112" si="2">A99</f>
        <v>ERYSGR</v>
      </c>
      <c r="B107" s="7" t="str">
        <f>VLOOKUP(A$5,$D$2:$L$11,4)</f>
        <v>0.00-0.00-0.00-0.00</v>
      </c>
    </row>
    <row r="108" spans="1:27" hidden="1" x14ac:dyDescent="0.2">
      <c r="A108" s="11" t="str">
        <f t="shared" si="2"/>
        <v>PUCCHD</v>
      </c>
      <c r="B108" s="7" t="str">
        <f>VLOOKUP(A$5,$D$2:$L$11,5)</f>
        <v>0.00-0.00-0.00-0.00</v>
      </c>
    </row>
    <row r="109" spans="1:27" hidden="1" x14ac:dyDescent="0.2">
      <c r="A109" s="11" t="str">
        <f t="shared" si="2"/>
        <v>RHYNSE</v>
      </c>
      <c r="B109" s="7" t="str">
        <f>VLOOKUP(A$5,$D$2:$L$11,6)</f>
        <v>0.00-0.00-0.00-0.00</v>
      </c>
    </row>
    <row r="110" spans="1:27" hidden="1" x14ac:dyDescent="0.2">
      <c r="A110" s="11" t="str">
        <f t="shared" si="2"/>
        <v>PYRNTE</v>
      </c>
      <c r="B110" s="7" t="str">
        <f>VLOOKUP(A$5,$D$2:$L$11,7)</f>
        <v>0.00-0.00-0.00-0.00</v>
      </c>
    </row>
    <row r="111" spans="1:27" hidden="1" x14ac:dyDescent="0.2">
      <c r="A111" s="11" t="str">
        <f t="shared" si="2"/>
        <v xml:space="preserve">  </v>
      </c>
      <c r="B111" s="7" t="str">
        <f>VLOOKUP(A$5,$D$2:$L$11,8)</f>
        <v>0.00-0.00-0.00-0.00</v>
      </c>
      <c r="AA111" s="7" t="s">
        <v>151</v>
      </c>
    </row>
    <row r="112" spans="1:27" hidden="1" x14ac:dyDescent="0.2">
      <c r="A112" s="11" t="str">
        <f t="shared" si="2"/>
        <v>Wilted</v>
      </c>
      <c r="B112" s="7" t="str">
        <f>VLOOKUP(A$5,$D$2:$L$11,9)</f>
        <v>0.00-0.00-0.00-0.00</v>
      </c>
    </row>
    <row r="113" spans="1:27" hidden="1" x14ac:dyDescent="0.2">
      <c r="A113" s="144" t="str">
        <f>CONCATENATE("Date ",A6)</f>
        <v>Date Ob4</v>
      </c>
      <c r="B113" s="363" t="e">
        <f>VLOOKUP(A$6,$D$2:$L$11,2)</f>
        <v>#REF!</v>
      </c>
    </row>
    <row r="114" spans="1:27" hidden="1" x14ac:dyDescent="0.2">
      <c r="A114" s="11" t="str">
        <f>A106</f>
        <v>BBCH</v>
      </c>
      <c r="B114" s="7" t="e">
        <f>VLOOKUP(A$6,$D$2:$L$11,3)</f>
        <v>#REF!</v>
      </c>
      <c r="AA114" s="7" t="s">
        <v>151</v>
      </c>
    </row>
    <row r="115" spans="1:27" hidden="1" x14ac:dyDescent="0.2">
      <c r="A115" s="11" t="str">
        <f t="shared" ref="A115:A120" si="3">A107</f>
        <v>ERYSGR</v>
      </c>
      <c r="B115" s="7" t="e">
        <f>VLOOKUP(A$6,$D$2:$L$11,4)</f>
        <v>#REF!</v>
      </c>
      <c r="AA115" s="7" t="s">
        <v>151</v>
      </c>
    </row>
    <row r="116" spans="1:27" hidden="1" x14ac:dyDescent="0.2">
      <c r="A116" s="11" t="str">
        <f t="shared" si="3"/>
        <v>PUCCHD</v>
      </c>
      <c r="B116" s="7" t="e">
        <f>VLOOKUP(A$6,$D$2:$L$11,5)</f>
        <v>#REF!</v>
      </c>
      <c r="AA116" s="7" t="s">
        <v>151</v>
      </c>
    </row>
    <row r="117" spans="1:27" hidden="1" x14ac:dyDescent="0.2">
      <c r="A117" s="11" t="str">
        <f t="shared" si="3"/>
        <v>RHYNSE</v>
      </c>
      <c r="B117" s="7" t="e">
        <f>VLOOKUP(A$6,$D$2:$L$11,6)</f>
        <v>#REF!</v>
      </c>
    </row>
    <row r="118" spans="1:27" hidden="1" x14ac:dyDescent="0.2">
      <c r="A118" s="11" t="str">
        <f t="shared" si="3"/>
        <v>PYRNTE</v>
      </c>
      <c r="B118" s="7" t="e">
        <f>VLOOKUP(A$6,$D$2:$L$11,7)</f>
        <v>#REF!</v>
      </c>
    </row>
    <row r="119" spans="1:27" hidden="1" x14ac:dyDescent="0.2">
      <c r="A119" s="11" t="str">
        <f t="shared" si="3"/>
        <v xml:space="preserve">  </v>
      </c>
      <c r="B119" s="7" t="e">
        <f>VLOOKUP(A$6,$D$2:$L$11,8)</f>
        <v>#REF!</v>
      </c>
      <c r="AA119" s="7" t="s">
        <v>151</v>
      </c>
    </row>
    <row r="120" spans="1:27" hidden="1" x14ac:dyDescent="0.2">
      <c r="A120" s="11" t="str">
        <f t="shared" si="3"/>
        <v>Wilted</v>
      </c>
      <c r="B120" s="7" t="e">
        <f>VLOOKUP(A$6,$D$2:$L$11,9)</f>
        <v>#REF!</v>
      </c>
      <c r="AA120" s="7" t="s">
        <v>151</v>
      </c>
    </row>
    <row r="121" spans="1:27" hidden="1" x14ac:dyDescent="0.2">
      <c r="A121" s="144" t="str">
        <f>CONCATENATE("Date ",A7)</f>
        <v xml:space="preserve">Date </v>
      </c>
      <c r="B121" s="363" t="e">
        <f>VLOOKUP(A$7,$D$2:$L$11,2)</f>
        <v>#N/A</v>
      </c>
      <c r="AA121" s="7" t="s">
        <v>151</v>
      </c>
    </row>
    <row r="122" spans="1:27" hidden="1" x14ac:dyDescent="0.2">
      <c r="A122" s="11" t="str">
        <f>A114</f>
        <v>BBCH</v>
      </c>
      <c r="B122" s="7" t="e">
        <f>VLOOKUP(A$7,$D$2:$L$11,3)</f>
        <v>#N/A</v>
      </c>
      <c r="AA122" s="7" t="s">
        <v>151</v>
      </c>
    </row>
    <row r="123" spans="1:27" hidden="1" x14ac:dyDescent="0.2">
      <c r="A123" s="11" t="str">
        <f t="shared" ref="A123:A128" si="4">A115</f>
        <v>ERYSGR</v>
      </c>
      <c r="B123" s="7" t="e">
        <f>VLOOKUP(A$7,$D$2:$L$11,4)</f>
        <v>#N/A</v>
      </c>
      <c r="AA123" s="7" t="s">
        <v>151</v>
      </c>
    </row>
    <row r="124" spans="1:27" hidden="1" x14ac:dyDescent="0.2">
      <c r="A124" s="11" t="str">
        <f t="shared" si="4"/>
        <v>PUCCHD</v>
      </c>
      <c r="B124" s="7" t="e">
        <f>VLOOKUP(A$7,$D$2:$L$11,5)</f>
        <v>#N/A</v>
      </c>
    </row>
    <row r="125" spans="1:27" hidden="1" x14ac:dyDescent="0.2">
      <c r="A125" s="11" t="str">
        <f t="shared" si="4"/>
        <v>RHYNSE</v>
      </c>
      <c r="B125" s="7" t="e">
        <f>VLOOKUP(A$7,$D$2:$L$11,6)</f>
        <v>#N/A</v>
      </c>
    </row>
    <row r="126" spans="1:27" hidden="1" x14ac:dyDescent="0.2">
      <c r="A126" s="11" t="str">
        <f t="shared" si="4"/>
        <v>PYRNTE</v>
      </c>
      <c r="B126" s="7" t="e">
        <f>VLOOKUP(A$7,$D$2:$L$11,7)</f>
        <v>#N/A</v>
      </c>
      <c r="AA126" s="7" t="s">
        <v>151</v>
      </c>
    </row>
    <row r="127" spans="1:27" hidden="1" x14ac:dyDescent="0.2">
      <c r="A127" s="11" t="str">
        <f t="shared" si="4"/>
        <v xml:space="preserve">  </v>
      </c>
      <c r="B127" s="7" t="e">
        <f>VLOOKUP(A$7,$D$2:$L$11,8)</f>
        <v>#N/A</v>
      </c>
      <c r="AA127" s="7" t="s">
        <v>151</v>
      </c>
    </row>
    <row r="128" spans="1:27" hidden="1" x14ac:dyDescent="0.2">
      <c r="A128" s="11" t="str">
        <f t="shared" si="4"/>
        <v>Wilted</v>
      </c>
      <c r="B128" s="7" t="e">
        <f>VLOOKUP(A$7,$D$2:$L$11,9)</f>
        <v>#N/A</v>
      </c>
      <c r="AA128" s="7" t="s">
        <v>151</v>
      </c>
    </row>
    <row r="129" spans="1:27" hidden="1" x14ac:dyDescent="0.2">
      <c r="A129" s="144" t="str">
        <f>CONCATENATE("Date ",A8)</f>
        <v xml:space="preserve">Date </v>
      </c>
      <c r="B129" s="363" t="e">
        <f>VLOOKUP(A$8,$D$2:$L$11,2)</f>
        <v>#N/A</v>
      </c>
      <c r="AA129" s="7" t="s">
        <v>151</v>
      </c>
    </row>
    <row r="130" spans="1:27" hidden="1" x14ac:dyDescent="0.2">
      <c r="A130" s="11" t="str">
        <f>A122</f>
        <v>BBCH</v>
      </c>
      <c r="B130" s="7" t="e">
        <f>VLOOKUP(A$8,$D$2:$L$11,3)</f>
        <v>#N/A</v>
      </c>
    </row>
    <row r="131" spans="1:27" hidden="1" x14ac:dyDescent="0.2">
      <c r="A131" s="11" t="str">
        <f t="shared" ref="A131:A136" si="5">A123</f>
        <v>ERYSGR</v>
      </c>
      <c r="B131" s="7" t="e">
        <f>VLOOKUP(A$8,$D$2:$L$11,4)</f>
        <v>#N/A</v>
      </c>
    </row>
    <row r="132" spans="1:27" hidden="1" x14ac:dyDescent="0.2">
      <c r="A132" s="11" t="str">
        <f t="shared" si="5"/>
        <v>PUCCHD</v>
      </c>
      <c r="B132" s="7" t="e">
        <f>VLOOKUP(A$8,$D$2:$L$11,5)</f>
        <v>#N/A</v>
      </c>
      <c r="AA132" s="7" t="s">
        <v>151</v>
      </c>
    </row>
    <row r="133" spans="1:27" hidden="1" x14ac:dyDescent="0.2">
      <c r="A133" s="11" t="str">
        <f t="shared" si="5"/>
        <v>RHYNSE</v>
      </c>
      <c r="B133" s="7" t="e">
        <f>VLOOKUP(A$8,$D$2:$L$11,6)</f>
        <v>#N/A</v>
      </c>
      <c r="AA133" s="7" t="s">
        <v>151</v>
      </c>
    </row>
    <row r="134" spans="1:27" hidden="1" x14ac:dyDescent="0.2">
      <c r="A134" s="11" t="str">
        <f t="shared" si="5"/>
        <v>PYRNTE</v>
      </c>
      <c r="B134" s="7" t="e">
        <f>VLOOKUP(A$8,$D$2:$L$11,7)</f>
        <v>#N/A</v>
      </c>
      <c r="AA134" s="7" t="s">
        <v>151</v>
      </c>
    </row>
    <row r="135" spans="1:27" hidden="1" x14ac:dyDescent="0.2">
      <c r="A135" s="11" t="str">
        <f t="shared" si="5"/>
        <v xml:space="preserve">  </v>
      </c>
      <c r="B135" s="7" t="e">
        <f>VLOOKUP(A$8,$D$2:$L$11,8)</f>
        <v>#N/A</v>
      </c>
    </row>
    <row r="136" spans="1:27" hidden="1" x14ac:dyDescent="0.2">
      <c r="A136" s="11" t="str">
        <f t="shared" si="5"/>
        <v>Wilted</v>
      </c>
      <c r="B136" s="7" t="e">
        <f>VLOOKUP(A$8,$D$2:$L$11,9)</f>
        <v>#N/A</v>
      </c>
    </row>
    <row r="137" spans="1:27" hidden="1" x14ac:dyDescent="0.2">
      <c r="A137" s="144" t="str">
        <f>CONCATENATE("Date ",A9)</f>
        <v xml:space="preserve">Date </v>
      </c>
      <c r="B137" s="363" t="e">
        <f>VLOOKUP(A$9,$D$2:$L$11,2)</f>
        <v>#N/A</v>
      </c>
    </row>
    <row r="138" spans="1:27" hidden="1" x14ac:dyDescent="0.2">
      <c r="A138" s="11" t="str">
        <f>A130</f>
        <v>BBCH</v>
      </c>
      <c r="B138" s="7" t="e">
        <f>VLOOKUP(A$9,$D$2:$L$11,3)</f>
        <v>#N/A</v>
      </c>
    </row>
    <row r="139" spans="1:27" hidden="1" x14ac:dyDescent="0.2">
      <c r="A139" s="11" t="str">
        <f t="shared" ref="A139:A144" si="6">A131</f>
        <v>ERYSGR</v>
      </c>
      <c r="B139" s="7" t="e">
        <f>VLOOKUP(A$9,$D$2:$L$11,4)</f>
        <v>#N/A</v>
      </c>
    </row>
    <row r="140" spans="1:27" hidden="1" x14ac:dyDescent="0.2">
      <c r="A140" s="11" t="str">
        <f t="shared" si="6"/>
        <v>PUCCHD</v>
      </c>
      <c r="B140" s="7" t="e">
        <f>VLOOKUP(A$9,$D$2:$L$11,5)</f>
        <v>#N/A</v>
      </c>
    </row>
    <row r="141" spans="1:27" hidden="1" x14ac:dyDescent="0.2">
      <c r="A141" s="11" t="str">
        <f t="shared" si="6"/>
        <v>RHYNSE</v>
      </c>
      <c r="B141" s="7" t="e">
        <f>VLOOKUP(A$9,$D$2:$L$11,6)</f>
        <v>#N/A</v>
      </c>
    </row>
    <row r="142" spans="1:27" hidden="1" x14ac:dyDescent="0.2">
      <c r="A142" s="11" t="str">
        <f t="shared" si="6"/>
        <v>PYRNTE</v>
      </c>
      <c r="B142" s="7" t="e">
        <f>VLOOKUP(A$9,$D$2:$L$11,7)</f>
        <v>#N/A</v>
      </c>
    </row>
    <row r="143" spans="1:27" hidden="1" x14ac:dyDescent="0.2">
      <c r="A143" s="11" t="str">
        <f t="shared" si="6"/>
        <v xml:space="preserve">  </v>
      </c>
      <c r="B143" s="7" t="e">
        <f>VLOOKUP(A$9,$D$2:$L$11,8)</f>
        <v>#N/A</v>
      </c>
    </row>
    <row r="144" spans="1:27" hidden="1" x14ac:dyDescent="0.2">
      <c r="A144" s="11" t="str">
        <f t="shared" si="6"/>
        <v>Wilted</v>
      </c>
      <c r="B144" s="7" t="e">
        <f>VLOOKUP(A$9,$D$2:$L$11,9)</f>
        <v>#N/A</v>
      </c>
      <c r="E144" s="344"/>
      <c r="F144" s="344"/>
    </row>
    <row r="145" spans="1:6" hidden="1" x14ac:dyDescent="0.2">
      <c r="A145" s="144" t="str">
        <f>CONCATENATE("Date ",A10)</f>
        <v xml:space="preserve">Date </v>
      </c>
      <c r="B145" s="363" t="e">
        <f>VLOOKUP(A$10,$D$2:$L$11,2)</f>
        <v>#N/A</v>
      </c>
      <c r="E145" s="344"/>
      <c r="F145" s="344"/>
    </row>
    <row r="146" spans="1:6" hidden="1" x14ac:dyDescent="0.2">
      <c r="A146" s="11" t="str">
        <f>A138</f>
        <v>BBCH</v>
      </c>
      <c r="B146" s="7" t="e">
        <f>VLOOKUP(A$10,$D$2:$L$11,3)</f>
        <v>#N/A</v>
      </c>
      <c r="E146" s="345"/>
      <c r="F146" s="345"/>
    </row>
    <row r="147" spans="1:6" hidden="1" x14ac:dyDescent="0.2">
      <c r="A147" s="11" t="str">
        <f t="shared" ref="A147:A152" si="7">A139</f>
        <v>ERYSGR</v>
      </c>
      <c r="B147" s="7" t="e">
        <f>VLOOKUP(A$10,$D$2:$L$11,4)</f>
        <v>#N/A</v>
      </c>
      <c r="E147" s="346"/>
      <c r="F147" s="346"/>
    </row>
    <row r="148" spans="1:6" hidden="1" x14ac:dyDescent="0.2">
      <c r="A148" s="11" t="str">
        <f t="shared" si="7"/>
        <v>PUCCHD</v>
      </c>
      <c r="B148" s="7" t="e">
        <f>VLOOKUP(A$10,$D$2:$L$11,5)</f>
        <v>#N/A</v>
      </c>
      <c r="E148" s="345"/>
      <c r="F148" s="345"/>
    </row>
    <row r="149" spans="1:6" hidden="1" x14ac:dyDescent="0.2">
      <c r="A149" s="11" t="str">
        <f t="shared" si="7"/>
        <v>RHYNSE</v>
      </c>
      <c r="B149" s="7" t="e">
        <f>VLOOKUP(A$10,$D$2:$L$11,6)</f>
        <v>#N/A</v>
      </c>
      <c r="E149" s="345"/>
      <c r="F149" s="345"/>
    </row>
    <row r="150" spans="1:6" hidden="1" x14ac:dyDescent="0.2">
      <c r="A150" s="11" t="str">
        <f t="shared" si="7"/>
        <v>PYRNTE</v>
      </c>
      <c r="B150" s="7" t="e">
        <f>VLOOKUP(A$10,$D$2:$L$11,7)</f>
        <v>#N/A</v>
      </c>
      <c r="E150" s="347"/>
      <c r="F150" s="347"/>
    </row>
    <row r="151" spans="1:6" hidden="1" x14ac:dyDescent="0.2">
      <c r="A151" s="11" t="str">
        <f t="shared" si="7"/>
        <v xml:space="preserve">  </v>
      </c>
      <c r="B151" s="7" t="e">
        <f>VLOOKUP(A$10,$D$2:$L$11,8)</f>
        <v>#N/A</v>
      </c>
      <c r="E151" s="345"/>
      <c r="F151" s="345"/>
    </row>
    <row r="152" spans="1:6" hidden="1" x14ac:dyDescent="0.2">
      <c r="A152" s="11" t="str">
        <f t="shared" si="7"/>
        <v>Wilted</v>
      </c>
      <c r="B152" s="7" t="e">
        <f>VLOOKUP(A$10,$D$2:$L$11,9)</f>
        <v>#N/A</v>
      </c>
      <c r="E152" s="346"/>
      <c r="F152" s="346"/>
    </row>
    <row r="153" spans="1:6" hidden="1" x14ac:dyDescent="0.2">
      <c r="A153" s="144" t="str">
        <f>CONCATENATE("Date ",A11)</f>
        <v xml:space="preserve">Date </v>
      </c>
      <c r="B153" s="363" t="e">
        <f>VLOOKUP(A$11,$D$2:$L$11,2)</f>
        <v>#N/A</v>
      </c>
      <c r="E153" s="347"/>
      <c r="F153" s="347"/>
    </row>
    <row r="154" spans="1:6" hidden="1" x14ac:dyDescent="0.2">
      <c r="A154" s="11" t="str">
        <f>A146</f>
        <v>BBCH</v>
      </c>
      <c r="B154" s="7" t="e">
        <f>VLOOKUP(A$11,$D$2:$L$11,3)</f>
        <v>#N/A</v>
      </c>
      <c r="E154" s="345"/>
      <c r="F154" s="345"/>
    </row>
    <row r="155" spans="1:6" hidden="1" x14ac:dyDescent="0.2">
      <c r="A155" s="11" t="str">
        <f t="shared" ref="A155:A160" si="8">A147</f>
        <v>ERYSGR</v>
      </c>
      <c r="B155" s="7" t="e">
        <f>VLOOKUP(A$11,$D$2:$L$11,4)</f>
        <v>#N/A</v>
      </c>
      <c r="E155" s="345"/>
      <c r="F155" s="345"/>
    </row>
    <row r="156" spans="1:6" hidden="1" x14ac:dyDescent="0.2">
      <c r="A156" s="11" t="str">
        <f t="shared" si="8"/>
        <v>PUCCHD</v>
      </c>
      <c r="B156" s="7" t="e">
        <f>VLOOKUP(A$11,$D$2:$L$11,5)</f>
        <v>#N/A</v>
      </c>
      <c r="E156" s="345"/>
      <c r="F156" s="345"/>
    </row>
    <row r="157" spans="1:6" hidden="1" x14ac:dyDescent="0.2">
      <c r="A157" s="11" t="str">
        <f t="shared" si="8"/>
        <v>RHYNSE</v>
      </c>
      <c r="B157" s="7" t="e">
        <f>VLOOKUP(A$11,$D$2:$L$11,6)</f>
        <v>#N/A</v>
      </c>
      <c r="E157" s="345"/>
      <c r="F157" s="345"/>
    </row>
    <row r="158" spans="1:6" hidden="1" x14ac:dyDescent="0.2">
      <c r="A158" s="11" t="str">
        <f t="shared" si="8"/>
        <v>PYRNTE</v>
      </c>
      <c r="B158" s="7" t="e">
        <f>VLOOKUP(A$11,$D$2:$L$11,7)</f>
        <v>#N/A</v>
      </c>
      <c r="E158" s="347"/>
      <c r="F158" s="347"/>
    </row>
    <row r="159" spans="1:6" hidden="1" x14ac:dyDescent="0.2">
      <c r="A159" s="11" t="str">
        <f t="shared" si="8"/>
        <v xml:space="preserve">  </v>
      </c>
      <c r="B159" s="7" t="e">
        <f>VLOOKUP(A$11,$D$2:$L$11,8)</f>
        <v>#N/A</v>
      </c>
      <c r="E159" s="345"/>
      <c r="F159" s="345"/>
    </row>
    <row r="160" spans="1:6" hidden="1" x14ac:dyDescent="0.2">
      <c r="A160" s="11" t="str">
        <f t="shared" si="8"/>
        <v>Wilted</v>
      </c>
      <c r="B160" s="7" t="e">
        <f>VLOOKUP(A$11,$D$2:$L$11,9)</f>
        <v>#N/A</v>
      </c>
      <c r="E160" s="206"/>
      <c r="F160" s="206"/>
    </row>
    <row r="161" spans="1:5" hidden="1" x14ac:dyDescent="0.2">
      <c r="A161" s="391" t="s">
        <v>261</v>
      </c>
      <c r="B161" s="392">
        <f>Sprutj!D2</f>
        <v>41796</v>
      </c>
      <c r="C161" s="392">
        <f>Sprutj!H2</f>
        <v>0</v>
      </c>
      <c r="D161" s="392">
        <f>Sprutj!L2</f>
        <v>0</v>
      </c>
      <c r="E161" s="393">
        <f>Sprutj!P2</f>
        <v>0</v>
      </c>
    </row>
    <row r="162" spans="1:5" hidden="1" x14ac:dyDescent="0.2">
      <c r="A162" s="394" t="s">
        <v>958</v>
      </c>
      <c r="B162" s="395" t="str">
        <f>Sprutj!D3</f>
        <v>14.30</v>
      </c>
      <c r="C162" s="395">
        <f>Sprutj!H3</f>
        <v>0</v>
      </c>
      <c r="D162" s="395">
        <f>Sprutj!L3</f>
        <v>0</v>
      </c>
      <c r="E162" s="396">
        <f>Sprutj!P3</f>
        <v>0</v>
      </c>
    </row>
    <row r="163" spans="1:5" hidden="1" x14ac:dyDescent="0.2">
      <c r="A163" s="394" t="s">
        <v>959</v>
      </c>
      <c r="B163" s="395" t="str">
        <f>Sprutj!F3</f>
        <v>15.00</v>
      </c>
      <c r="C163" s="395">
        <f>Sprutj!J3</f>
        <v>0</v>
      </c>
      <c r="D163" s="395">
        <f>Sprutj!N3</f>
        <v>0</v>
      </c>
      <c r="E163" s="396">
        <f>Sprutj!R3</f>
        <v>0</v>
      </c>
    </row>
    <row r="164" spans="1:5" hidden="1" x14ac:dyDescent="0.2">
      <c r="A164" s="394" t="s">
        <v>262</v>
      </c>
      <c r="B164" s="397" t="s">
        <v>276</v>
      </c>
      <c r="C164" s="397" t="s">
        <v>276</v>
      </c>
      <c r="D164" s="397" t="s">
        <v>276</v>
      </c>
      <c r="E164" s="398" t="s">
        <v>276</v>
      </c>
    </row>
    <row r="165" spans="1:5" hidden="1" x14ac:dyDescent="0.2">
      <c r="A165" s="394" t="s">
        <v>263</v>
      </c>
      <c r="B165" s="399">
        <f>Sprutj!D18</f>
        <v>37</v>
      </c>
      <c r="C165" s="399">
        <f>Sprutj!H18</f>
        <v>0</v>
      </c>
      <c r="D165" s="399">
        <f>Sprutj!L18</f>
        <v>0</v>
      </c>
      <c r="E165" s="400">
        <f>Sprutj!P18</f>
        <v>0</v>
      </c>
    </row>
    <row r="166" spans="1:5" hidden="1" x14ac:dyDescent="0.2">
      <c r="A166" s="394" t="s">
        <v>264</v>
      </c>
      <c r="B166" s="397" t="str">
        <f>IF(B165&lt;9,"SOIL","FOLIAR")</f>
        <v>FOLIAR</v>
      </c>
      <c r="C166" s="397" t="str">
        <f>IF(C165&lt;9,"SOIL","FOLIAR")</f>
        <v>SOIL</v>
      </c>
      <c r="D166" s="397" t="str">
        <f>IF(D165&lt;9,"SOIL","FOLIAR")</f>
        <v>SOIL</v>
      </c>
      <c r="E166" s="398" t="str">
        <f>IF(E165&lt;9,"SOIL","FOLIAR")</f>
        <v>SOIL</v>
      </c>
    </row>
    <row r="167" spans="1:5" hidden="1" x14ac:dyDescent="0.2">
      <c r="A167" s="394" t="s">
        <v>265</v>
      </c>
      <c r="B167" s="397" t="str">
        <f>Sprutj!D4</f>
        <v>JMY</v>
      </c>
      <c r="C167" s="397">
        <f>Sprutj!H4</f>
        <v>0</v>
      </c>
      <c r="D167" s="397">
        <f>Sprutj!L4</f>
        <v>0</v>
      </c>
      <c r="E167" s="398">
        <f>Sprutj!P4</f>
        <v>0</v>
      </c>
    </row>
    <row r="168" spans="1:5" hidden="1" x14ac:dyDescent="0.2">
      <c r="A168" s="394" t="s">
        <v>266</v>
      </c>
      <c r="B168" s="401">
        <f>Sprutj!D10</f>
        <v>20</v>
      </c>
      <c r="C168" s="401">
        <f>Sprutj!H10</f>
        <v>0</v>
      </c>
      <c r="D168" s="401">
        <f>Sprutj!L10</f>
        <v>0</v>
      </c>
      <c r="E168" s="402">
        <f>Sprutj!P10</f>
        <v>0</v>
      </c>
    </row>
    <row r="169" spans="1:5" hidden="1" x14ac:dyDescent="0.2">
      <c r="A169" s="394"/>
      <c r="B169" s="397" t="s">
        <v>315</v>
      </c>
      <c r="C169" s="397" t="s">
        <v>315</v>
      </c>
      <c r="D169" s="397" t="s">
        <v>315</v>
      </c>
      <c r="E169" s="398" t="s">
        <v>315</v>
      </c>
    </row>
    <row r="170" spans="1:5" hidden="1" x14ac:dyDescent="0.2">
      <c r="A170" s="394" t="s">
        <v>267</v>
      </c>
      <c r="B170" s="399">
        <f>Sprutj!F10</f>
        <v>60</v>
      </c>
      <c r="C170" s="399">
        <f>Sprutj!J10</f>
        <v>0</v>
      </c>
      <c r="D170" s="399">
        <f>Sprutj!N10</f>
        <v>0</v>
      </c>
      <c r="E170" s="400">
        <f>Sprutj!R10</f>
        <v>0</v>
      </c>
    </row>
    <row r="171" spans="1:5" hidden="1" x14ac:dyDescent="0.2">
      <c r="A171" s="394" t="s">
        <v>268</v>
      </c>
      <c r="B171" s="401">
        <f>Sprutj!F11</f>
        <v>1</v>
      </c>
      <c r="C171" s="401">
        <f>Sprutj!J11</f>
        <v>0</v>
      </c>
      <c r="D171" s="401">
        <f>Sprutj!N11</f>
        <v>0</v>
      </c>
      <c r="E171" s="402">
        <f>Sprutj!R11</f>
        <v>0</v>
      </c>
    </row>
    <row r="172" spans="1:5" hidden="1" x14ac:dyDescent="0.2">
      <c r="A172" s="394"/>
      <c r="B172" s="397" t="s">
        <v>316</v>
      </c>
      <c r="C172" s="397" t="s">
        <v>316</v>
      </c>
      <c r="D172" s="397" t="s">
        <v>316</v>
      </c>
      <c r="E172" s="398" t="s">
        <v>316</v>
      </c>
    </row>
    <row r="173" spans="1:5" hidden="1" x14ac:dyDescent="0.2">
      <c r="A173" s="394" t="s">
        <v>269</v>
      </c>
      <c r="B173" s="397" t="str">
        <f>VLOOKUP(Sprutj!D11,$D$40:$E$55,2)</f>
        <v>S</v>
      </c>
      <c r="C173" s="397" t="e">
        <f>VLOOKUP(Sprutj!H11,$D$40:$E$55,2)</f>
        <v>#N/A</v>
      </c>
      <c r="D173" s="397" t="e">
        <f>VLOOKUP(Sprutj!L11,$D$40:$E$55,2)</f>
        <v>#N/A</v>
      </c>
      <c r="E173" s="398" t="e">
        <f>VLOOKUP(Sprutj!P11,$D$40:$E$55,2)</f>
        <v>#N/A</v>
      </c>
    </row>
    <row r="174" spans="1:5" hidden="1" x14ac:dyDescent="0.2">
      <c r="A174" s="394" t="s">
        <v>270</v>
      </c>
      <c r="B174" s="397" t="str">
        <f>IF(Sprutj!D21="Ingen","N","Y")</f>
        <v>N</v>
      </c>
      <c r="C174" s="397" t="str">
        <f>IF(Sprutj!H21="Ingen","N","Y")</f>
        <v>Y</v>
      </c>
      <c r="D174" s="397" t="str">
        <f>IF(Sprutj!L21="Ingen","N","Y")</f>
        <v>Y</v>
      </c>
      <c r="E174" s="398" t="str">
        <f>IF(Sprutj!P21="Ingen","N","Y")</f>
        <v>Y</v>
      </c>
    </row>
    <row r="175" spans="1:5" hidden="1" x14ac:dyDescent="0.2">
      <c r="A175" s="394"/>
      <c r="B175" s="397" t="str">
        <f>IF(B174="N","No","Yes")</f>
        <v>No</v>
      </c>
      <c r="C175" s="397" t="str">
        <f>IF(C174="N","No","Yes")</f>
        <v>Yes</v>
      </c>
      <c r="D175" s="397" t="str">
        <f>IF(D174="N","No","Yes")</f>
        <v>Yes</v>
      </c>
      <c r="E175" s="398" t="str">
        <f>IF(E174="N","No","Yes")</f>
        <v>Yes</v>
      </c>
    </row>
    <row r="176" spans="1:5" hidden="1" x14ac:dyDescent="0.2">
      <c r="A176" s="394" t="s">
        <v>271</v>
      </c>
      <c r="B176" s="401">
        <f>IF(Sprutj!D13&gt;0,Sprutj!D13,"")</f>
        <v>18</v>
      </c>
      <c r="C176" s="401" t="str">
        <f>IF(Sprutj!H13&gt;0,Sprutj!H13,"")</f>
        <v/>
      </c>
      <c r="D176" s="401" t="str">
        <f>IF(Sprutj!L13&gt;0,Sprutj!L13,"")</f>
        <v/>
      </c>
      <c r="E176" s="402" t="str">
        <f>IF(Sprutj!P13&gt;0,Sprutj!P13,"")</f>
        <v/>
      </c>
    </row>
    <row r="177" spans="1:5" hidden="1" x14ac:dyDescent="0.2">
      <c r="A177" s="394"/>
      <c r="B177" s="397" t="s">
        <v>315</v>
      </c>
      <c r="C177" s="397" t="s">
        <v>315</v>
      </c>
      <c r="D177" s="397" t="s">
        <v>315</v>
      </c>
      <c r="E177" s="398" t="s">
        <v>315</v>
      </c>
    </row>
    <row r="178" spans="1:5" hidden="1" x14ac:dyDescent="0.2">
      <c r="A178" s="208" t="s">
        <v>272</v>
      </c>
      <c r="B178" s="207" t="str">
        <f>IF(Sprutj!D15="Torr","Dry",IF(Sprutj!D15="Normal","Normal","Wet"))</f>
        <v>Normal</v>
      </c>
      <c r="C178" s="207" t="str">
        <f>IF(Sprutj!H15="Torr","Dry",IF(Sprutj!H15="Normal","Normal","Wet"))</f>
        <v>Wet</v>
      </c>
      <c r="D178" s="207" t="str">
        <f>IF(Sprutj!L15="Torr","Dry",IF(Sprutj!L15="Normal","Normal","Wet"))</f>
        <v>Wet</v>
      </c>
      <c r="E178" s="403" t="str">
        <f>IF(Sprutj!P15="Torr","Dry",IF(Sprutj!P15="Normal","Normal","Wet"))</f>
        <v>Wet</v>
      </c>
    </row>
    <row r="179" spans="1:5" hidden="1" x14ac:dyDescent="0.2">
      <c r="A179" s="208" t="s">
        <v>273</v>
      </c>
      <c r="B179" s="207">
        <f>Sprutj!D12</f>
        <v>30</v>
      </c>
      <c r="C179" s="207">
        <f>Sprutj!H12</f>
        <v>0</v>
      </c>
      <c r="D179" s="207">
        <f>Sprutj!L12</f>
        <v>0</v>
      </c>
      <c r="E179" s="403">
        <f>Sprutj!P12</f>
        <v>0</v>
      </c>
    </row>
    <row r="180" spans="1:5" hidden="1" x14ac:dyDescent="0.2">
      <c r="A180" s="208" t="s">
        <v>274</v>
      </c>
      <c r="B180" s="207"/>
      <c r="C180" s="207"/>
      <c r="D180" s="207"/>
      <c r="E180" s="403"/>
    </row>
    <row r="181" spans="1:5" hidden="1" x14ac:dyDescent="0.2">
      <c r="A181" s="208" t="s">
        <v>960</v>
      </c>
      <c r="B181" s="207">
        <f>Sprutj!D23</f>
        <v>0</v>
      </c>
      <c r="C181" s="207">
        <f>Sprutj!H23</f>
        <v>0</v>
      </c>
      <c r="D181" s="207">
        <f>Sprutj!L23</f>
        <v>0</v>
      </c>
      <c r="E181" s="403">
        <f>Sprutj!P23</f>
        <v>0</v>
      </c>
    </row>
    <row r="182" spans="1:5" hidden="1" x14ac:dyDescent="0.2">
      <c r="A182" s="404" t="s">
        <v>961</v>
      </c>
      <c r="B182" s="405" t="str">
        <f>Sprutj!D6</f>
        <v>M To Speedy</v>
      </c>
      <c r="C182" s="405">
        <f>Sprutj!H6</f>
        <v>0</v>
      </c>
      <c r="D182" s="405">
        <f>Sprutj!L6</f>
        <v>0</v>
      </c>
      <c r="E182" s="406">
        <f>Sprutj!P6</f>
        <v>0</v>
      </c>
    </row>
    <row r="183" spans="1:5" hidden="1" x14ac:dyDescent="0.2">
      <c r="A183" s="208" t="s">
        <v>962</v>
      </c>
      <c r="B183" s="207" t="str">
        <f>VLOOKUP(B$182,$E$13:$Q$37,3)</f>
        <v>SPCODR</v>
      </c>
      <c r="C183" s="207" t="e">
        <f>VLOOKUP(C$182,$E$13:$Q$37,3)</f>
        <v>#N/A</v>
      </c>
      <c r="D183" s="207" t="e">
        <f>VLOOKUP(D$182,$E$13:$Q$37,3)</f>
        <v>#N/A</v>
      </c>
      <c r="E183" s="403" t="e">
        <f>VLOOKUP(E$182,$E$13:$Q$37,3)</f>
        <v>#N/A</v>
      </c>
    </row>
    <row r="184" spans="1:5" hidden="1" x14ac:dyDescent="0.2">
      <c r="A184" s="208" t="s">
        <v>963</v>
      </c>
      <c r="B184" s="405">
        <f>Sprutj!D9</f>
        <v>2.5</v>
      </c>
      <c r="C184" s="405">
        <f>Sprutj!H9</f>
        <v>0</v>
      </c>
      <c r="D184" s="405">
        <f>Sprutj!L9</f>
        <v>0</v>
      </c>
      <c r="E184" s="406">
        <f>Sprutj!P9</f>
        <v>0</v>
      </c>
    </row>
    <row r="185" spans="1:5" hidden="1" x14ac:dyDescent="0.2">
      <c r="A185" s="208" t="s">
        <v>964</v>
      </c>
      <c r="B185" s="207" t="s">
        <v>599</v>
      </c>
      <c r="C185" s="207" t="s">
        <v>599</v>
      </c>
      <c r="D185" s="207" t="s">
        <v>599</v>
      </c>
      <c r="E185" s="403" t="s">
        <v>599</v>
      </c>
    </row>
    <row r="186" spans="1:5" hidden="1" x14ac:dyDescent="0.2">
      <c r="A186" s="208" t="s">
        <v>965</v>
      </c>
      <c r="B186" s="207" t="str">
        <f>VLOOKUP(B$182,$E$13:$Q$37,4)</f>
        <v>Hardi Flatfan</v>
      </c>
      <c r="C186" s="207" t="e">
        <f>VLOOKUP(C$182,$E$13:$Q$37,4)</f>
        <v>#N/A</v>
      </c>
      <c r="D186" s="207" t="e">
        <f>VLOOKUP(D$182,$E$13:$Q$37,4)</f>
        <v>#N/A</v>
      </c>
      <c r="E186" s="403" t="e">
        <f>VLOOKUP(E$182,$E$13:$Q$37,4)</f>
        <v>#N/A</v>
      </c>
    </row>
    <row r="187" spans="1:5" hidden="1" x14ac:dyDescent="0.2">
      <c r="A187" s="208" t="s">
        <v>966</v>
      </c>
      <c r="B187" s="207" t="str">
        <f>VLOOKUP(B$182,$E$13:$Q$37,5)</f>
        <v>LD015-110</v>
      </c>
      <c r="C187" s="207" t="e">
        <f>VLOOKUP(C$182,$E$13:$Q$37,5)</f>
        <v>#N/A</v>
      </c>
      <c r="D187" s="207" t="e">
        <f>VLOOKUP(D$182,$E$13:$Q$37,5)</f>
        <v>#N/A</v>
      </c>
      <c r="E187" s="403" t="e">
        <f>VLOOKUP(E$182,$E$13:$Q$37,5)</f>
        <v>#N/A</v>
      </c>
    </row>
    <row r="188" spans="1:5" hidden="1" x14ac:dyDescent="0.2">
      <c r="A188" s="208" t="s">
        <v>967</v>
      </c>
      <c r="B188" s="207">
        <f>VLOOKUP(B$182,$E$13:$Q$37,6)</f>
        <v>46</v>
      </c>
      <c r="C188" s="207" t="e">
        <f>VLOOKUP(C$182,$E$13:$Q$37,6)</f>
        <v>#N/A</v>
      </c>
      <c r="D188" s="207" t="e">
        <f>VLOOKUP(D$182,$E$13:$Q$37,6)</f>
        <v>#N/A</v>
      </c>
      <c r="E188" s="403" t="e">
        <f>VLOOKUP(E$182,$E$13:$Q$37,6)</f>
        <v>#N/A</v>
      </c>
    </row>
    <row r="189" spans="1:5" hidden="1" x14ac:dyDescent="0.2">
      <c r="A189" s="208" t="s">
        <v>964</v>
      </c>
      <c r="B189" s="207" t="s">
        <v>377</v>
      </c>
      <c r="C189" s="207" t="s">
        <v>377</v>
      </c>
      <c r="D189" s="207" t="s">
        <v>377</v>
      </c>
      <c r="E189" s="403" t="s">
        <v>377</v>
      </c>
    </row>
    <row r="190" spans="1:5" hidden="1" x14ac:dyDescent="0.2">
      <c r="A190" s="208" t="s">
        <v>968</v>
      </c>
      <c r="B190" s="207">
        <f>VLOOKUP(B$182,$E$13:$Q$37,7)</f>
        <v>6</v>
      </c>
      <c r="C190" s="207" t="e">
        <f>VLOOKUP(C$182,$E$13:$Q$37,7)</f>
        <v>#N/A</v>
      </c>
      <c r="D190" s="207" t="e">
        <f>VLOOKUP(D$182,$E$13:$Q$37,7)</f>
        <v>#N/A</v>
      </c>
      <c r="E190" s="403" t="e">
        <f>VLOOKUP(E$182,$E$13:$Q$37,7)</f>
        <v>#N/A</v>
      </c>
    </row>
    <row r="191" spans="1:5" hidden="1" x14ac:dyDescent="0.2">
      <c r="A191" s="208" t="s">
        <v>969</v>
      </c>
      <c r="B191" s="407">
        <f>B210*B202*B188/60</f>
        <v>398.66666666666669</v>
      </c>
      <c r="C191" s="407" t="e">
        <f t="shared" ref="C191:E191" si="9">C210*C202*C188/60</f>
        <v>#N/A</v>
      </c>
      <c r="D191" s="407" t="e">
        <f t="shared" si="9"/>
        <v>#N/A</v>
      </c>
      <c r="E191" s="408" t="e">
        <f t="shared" si="9"/>
        <v>#N/A</v>
      </c>
    </row>
    <row r="192" spans="1:5" hidden="1" x14ac:dyDescent="0.2">
      <c r="A192" s="208" t="s">
        <v>964</v>
      </c>
      <c r="B192" s="207" t="s">
        <v>600</v>
      </c>
      <c r="C192" s="207" t="s">
        <v>600</v>
      </c>
      <c r="D192" s="207" t="s">
        <v>600</v>
      </c>
      <c r="E192" s="403" t="s">
        <v>600</v>
      </c>
    </row>
    <row r="193" spans="1:5" hidden="1" x14ac:dyDescent="0.2">
      <c r="A193" s="208" t="s">
        <v>970</v>
      </c>
      <c r="B193" s="207"/>
      <c r="C193" s="207"/>
      <c r="D193" s="207"/>
      <c r="E193" s="403"/>
    </row>
    <row r="194" spans="1:5" hidden="1" x14ac:dyDescent="0.2">
      <c r="A194" s="208" t="s">
        <v>964</v>
      </c>
      <c r="B194" s="207"/>
      <c r="C194" s="207"/>
      <c r="D194" s="207"/>
      <c r="E194" s="403"/>
    </row>
    <row r="195" spans="1:5" hidden="1" x14ac:dyDescent="0.2">
      <c r="A195" s="208" t="s">
        <v>971</v>
      </c>
      <c r="B195" s="207"/>
      <c r="C195" s="207"/>
      <c r="D195" s="207"/>
      <c r="E195" s="403"/>
    </row>
    <row r="196" spans="1:5" hidden="1" x14ac:dyDescent="0.2">
      <c r="A196" s="208" t="s">
        <v>972</v>
      </c>
      <c r="B196" s="207">
        <f>VLOOKUP(B$182,$E$13:$Q$37,8)</f>
        <v>0</v>
      </c>
      <c r="C196" s="207" t="e">
        <f>VLOOKUP(C$182,$E$13:$Q$37,8)</f>
        <v>#N/A</v>
      </c>
      <c r="D196" s="207" t="e">
        <f>VLOOKUP(D$182,$E$13:$Q$37,8)</f>
        <v>#N/A</v>
      </c>
      <c r="E196" s="403" t="e">
        <f>VLOOKUP(E$182,$E$13:$Q$37,8)</f>
        <v>#N/A</v>
      </c>
    </row>
    <row r="197" spans="1:5" hidden="1" x14ac:dyDescent="0.2">
      <c r="A197" s="208" t="s">
        <v>973</v>
      </c>
      <c r="B197" s="207" t="str">
        <f>VLOOKUP(B$182,$E$13:$Q$37,9)</f>
        <v>HSM-66</v>
      </c>
      <c r="C197" s="207" t="e">
        <f>VLOOKUP(C$182,$E$13:$Q$37,9)</f>
        <v>#N/A</v>
      </c>
      <c r="D197" s="207" t="e">
        <f>VLOOKUP(D$182,$E$13:$Q$37,9)</f>
        <v>#N/A</v>
      </c>
      <c r="E197" s="403" t="e">
        <f>VLOOKUP(E$182,$E$13:$Q$37,9)</f>
        <v>#N/A</v>
      </c>
    </row>
    <row r="198" spans="1:5" hidden="1" x14ac:dyDescent="0.2">
      <c r="A198" s="208" t="s">
        <v>974</v>
      </c>
      <c r="B198" s="207">
        <f>VLOOKUP(B$182,$E$13:$Q$37,10)</f>
        <v>300</v>
      </c>
      <c r="C198" s="207" t="e">
        <f>VLOOKUP(C$182,$E$13:$Q$37,10)</f>
        <v>#N/A</v>
      </c>
      <c r="D198" s="207" t="e">
        <f>VLOOKUP(D$182,$E$13:$Q$37,10)</f>
        <v>#N/A</v>
      </c>
      <c r="E198" s="403" t="e">
        <f>VLOOKUP(E$182,$E$13:$Q$37,10)</f>
        <v>#N/A</v>
      </c>
    </row>
    <row r="199" spans="1:5" hidden="1" x14ac:dyDescent="0.2">
      <c r="A199" s="208" t="s">
        <v>964</v>
      </c>
      <c r="B199" s="207" t="s">
        <v>377</v>
      </c>
      <c r="C199" s="207" t="s">
        <v>377</v>
      </c>
      <c r="D199" s="207" t="s">
        <v>377</v>
      </c>
      <c r="E199" s="403" t="s">
        <v>377</v>
      </c>
    </row>
    <row r="200" spans="1:5" hidden="1" x14ac:dyDescent="0.2">
      <c r="A200" s="208" t="s">
        <v>975</v>
      </c>
      <c r="B200" s="207">
        <f>VLOOKUP(B$182,$E$13:$Q$37,11)</f>
        <v>50</v>
      </c>
      <c r="C200" s="207" t="e">
        <f>VLOOKUP(C$182,$E$13:$Q$37,11)</f>
        <v>#N/A</v>
      </c>
      <c r="D200" s="207" t="e">
        <f>VLOOKUP(D$182,$E$13:$Q$37,11)</f>
        <v>#N/A</v>
      </c>
      <c r="E200" s="403" t="e">
        <f>VLOOKUP(E$182,$E$13:$Q$37,11)</f>
        <v>#N/A</v>
      </c>
    </row>
    <row r="201" spans="1:5" hidden="1" x14ac:dyDescent="0.2">
      <c r="A201" s="208" t="s">
        <v>964</v>
      </c>
      <c r="B201" s="207" t="s">
        <v>377</v>
      </c>
      <c r="C201" s="207" t="s">
        <v>377</v>
      </c>
      <c r="D201" s="207" t="s">
        <v>377</v>
      </c>
      <c r="E201" s="403" t="s">
        <v>377</v>
      </c>
    </row>
    <row r="202" spans="1:5" hidden="1" x14ac:dyDescent="0.2">
      <c r="A202" s="208" t="s">
        <v>976</v>
      </c>
      <c r="B202" s="405">
        <f>Sprutj!F9</f>
        <v>2.6</v>
      </c>
      <c r="C202" s="405">
        <f>Sprutj!J9</f>
        <v>0</v>
      </c>
      <c r="D202" s="405">
        <f>Sprutj!N9</f>
        <v>0</v>
      </c>
      <c r="E202" s="406">
        <f>Sprutj!R9</f>
        <v>0</v>
      </c>
    </row>
    <row r="203" spans="1:5" hidden="1" x14ac:dyDescent="0.2">
      <c r="A203" s="208" t="s">
        <v>964</v>
      </c>
      <c r="B203" s="207" t="s">
        <v>601</v>
      </c>
      <c r="C203" s="207" t="s">
        <v>601</v>
      </c>
      <c r="D203" s="207" t="s">
        <v>601</v>
      </c>
      <c r="E203" s="403" t="s">
        <v>601</v>
      </c>
    </row>
    <row r="204" spans="1:5" hidden="1" x14ac:dyDescent="0.2">
      <c r="A204" s="394" t="s">
        <v>977</v>
      </c>
      <c r="B204" s="207"/>
      <c r="C204" s="207"/>
      <c r="D204" s="207"/>
      <c r="E204" s="403"/>
    </row>
    <row r="205" spans="1:5" hidden="1" x14ac:dyDescent="0.2">
      <c r="A205" s="394" t="s">
        <v>978</v>
      </c>
      <c r="B205" s="207"/>
      <c r="C205" s="207"/>
      <c r="D205" s="207"/>
      <c r="E205" s="403"/>
    </row>
    <row r="206" spans="1:5" hidden="1" x14ac:dyDescent="0.2">
      <c r="A206" s="394" t="s">
        <v>979</v>
      </c>
      <c r="B206" s="207"/>
      <c r="C206" s="207"/>
      <c r="D206" s="207"/>
      <c r="E206" s="403"/>
    </row>
    <row r="207" spans="1:5" hidden="1" x14ac:dyDescent="0.2">
      <c r="A207" s="394" t="s">
        <v>964</v>
      </c>
      <c r="B207" s="397"/>
      <c r="C207" s="397"/>
      <c r="D207" s="397"/>
      <c r="E207" s="398"/>
    </row>
    <row r="208" spans="1:5" hidden="1" x14ac:dyDescent="0.2">
      <c r="A208" s="394" t="s">
        <v>980</v>
      </c>
      <c r="B208" s="207" t="s">
        <v>122</v>
      </c>
      <c r="C208" s="207" t="s">
        <v>122</v>
      </c>
      <c r="D208" s="207" t="s">
        <v>122</v>
      </c>
      <c r="E208" s="403" t="s">
        <v>122</v>
      </c>
    </row>
    <row r="209" spans="1:5" hidden="1" x14ac:dyDescent="0.2">
      <c r="A209" s="394" t="s">
        <v>981</v>
      </c>
      <c r="B209" s="397"/>
      <c r="C209" s="397"/>
      <c r="D209" s="397"/>
      <c r="E209" s="398"/>
    </row>
    <row r="210" spans="1:5" hidden="1" x14ac:dyDescent="0.2">
      <c r="A210" s="394" t="s">
        <v>982</v>
      </c>
      <c r="B210" s="409">
        <f>Sprutj!D8</f>
        <v>200</v>
      </c>
      <c r="C210" s="409">
        <f>Sprutj!H8</f>
        <v>0</v>
      </c>
      <c r="D210" s="409">
        <f>Sprutj!L8</f>
        <v>0</v>
      </c>
      <c r="E210" s="410">
        <f>Sprutj!P8</f>
        <v>0</v>
      </c>
    </row>
    <row r="211" spans="1:5" hidden="1" x14ac:dyDescent="0.2">
      <c r="A211" s="394" t="s">
        <v>964</v>
      </c>
      <c r="B211" s="397" t="s">
        <v>424</v>
      </c>
      <c r="C211" s="397" t="s">
        <v>424</v>
      </c>
      <c r="D211" s="397" t="s">
        <v>424</v>
      </c>
      <c r="E211" s="398" t="s">
        <v>424</v>
      </c>
    </row>
    <row r="212" spans="1:5" hidden="1" x14ac:dyDescent="0.2">
      <c r="A212" s="394" t="s">
        <v>602</v>
      </c>
      <c r="B212" s="411">
        <f>VLOOKUP(B$182,$E$13:$Q$37,12)</f>
        <v>3.3</v>
      </c>
      <c r="C212" s="411" t="e">
        <f>VLOOKUP(C$182,$E$13:$Q$37,12)</f>
        <v>#N/A</v>
      </c>
      <c r="D212" s="411" t="e">
        <f>VLOOKUP(D$182,$E$13:$Q$37,12)</f>
        <v>#N/A</v>
      </c>
      <c r="E212" s="412" t="e">
        <f>VLOOKUP(E$182,$E$13:$Q$37,12)</f>
        <v>#N/A</v>
      </c>
    </row>
    <row r="213" spans="1:5" hidden="1" x14ac:dyDescent="0.2">
      <c r="A213" s="394" t="s">
        <v>964</v>
      </c>
      <c r="B213" s="397" t="s">
        <v>985</v>
      </c>
      <c r="C213" s="397" t="s">
        <v>985</v>
      </c>
      <c r="D213" s="397" t="s">
        <v>985</v>
      </c>
      <c r="E213" s="398" t="s">
        <v>985</v>
      </c>
    </row>
    <row r="214" spans="1:5" hidden="1" x14ac:dyDescent="0.2">
      <c r="A214" s="394" t="s">
        <v>603</v>
      </c>
      <c r="B214" s="397"/>
      <c r="C214" s="397"/>
      <c r="D214" s="397"/>
      <c r="E214" s="398"/>
    </row>
    <row r="215" spans="1:5" hidden="1" x14ac:dyDescent="0.2">
      <c r="A215" s="394" t="s">
        <v>983</v>
      </c>
      <c r="B215" s="207" t="str">
        <f>VLOOKUP(B$182,$E$13:$Q$37,13)</f>
        <v>COMAIR</v>
      </c>
      <c r="C215" s="207" t="e">
        <f>VLOOKUP(C$182,$E$13:$Q$37,13)</f>
        <v>#N/A</v>
      </c>
      <c r="D215" s="207" t="e">
        <f>VLOOKUP(D$182,$E$13:$Q$37,13)</f>
        <v>#N/A</v>
      </c>
      <c r="E215" s="403" t="e">
        <f>VLOOKUP(E$182,$E$13:$Q$37,13)</f>
        <v>#N/A</v>
      </c>
    </row>
    <row r="216" spans="1:5" hidden="1" x14ac:dyDescent="0.2">
      <c r="A216" s="413" t="s">
        <v>984</v>
      </c>
      <c r="B216" s="414"/>
      <c r="C216" s="414"/>
      <c r="D216" s="414"/>
      <c r="E216" s="415"/>
    </row>
  </sheetData>
  <sheetProtection password="984F" sheet="1" objects="1" scenarios="1" selectLockedCells="1"/>
  <sortState ref="D11:P17">
    <sortCondition ref="D74"/>
  </sortState>
  <phoneticPr fontId="29" type="noConversion"/>
  <dataValidations count="1">
    <dataValidation type="list" allowBlank="1" showInputMessage="1" showErrorMessage="1" sqref="A2:A11">
      <formula1>$D$2:$D$11</formula1>
    </dataValidation>
  </dataValidation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activeCell="D11" sqref="D11"/>
    </sheetView>
  </sheetViews>
  <sheetFormatPr defaultRowHeight="12.75" x14ac:dyDescent="0.2"/>
  <cols>
    <col min="1" max="1" width="7.28515625" style="753" customWidth="1"/>
    <col min="2" max="2" width="13.7109375" style="753" customWidth="1"/>
    <col min="3" max="3" width="8.28515625" style="753" customWidth="1"/>
    <col min="4" max="10" width="4.7109375" style="753" customWidth="1"/>
    <col min="11" max="13" width="4.28515625" style="753" customWidth="1"/>
    <col min="14" max="14" width="6.140625" style="753" customWidth="1"/>
    <col min="15" max="15" width="6" style="753" customWidth="1"/>
    <col min="16" max="16" width="12.28515625" style="753" customWidth="1"/>
    <col min="17" max="20" width="7.85546875" style="753" hidden="1" customWidth="1"/>
    <col min="21" max="22" width="5" style="753" hidden="1" customWidth="1"/>
    <col min="23" max="23" width="9.140625" style="753" hidden="1" customWidth="1"/>
    <col min="24" max="256" width="9.140625" style="753"/>
    <col min="257" max="257" width="7.28515625" style="753" customWidth="1"/>
    <col min="258" max="258" width="13.7109375" style="753" customWidth="1"/>
    <col min="259" max="259" width="8.28515625" style="753" customWidth="1"/>
    <col min="260" max="266" width="4.7109375" style="753" customWidth="1"/>
    <col min="267" max="269" width="4.28515625" style="753" customWidth="1"/>
    <col min="270" max="270" width="6.140625" style="753" customWidth="1"/>
    <col min="271" max="271" width="6" style="753" customWidth="1"/>
    <col min="272" max="272" width="12.28515625" style="753" customWidth="1"/>
    <col min="273" max="273" width="9.140625" style="753" customWidth="1"/>
    <col min="274" max="274" width="3.85546875" style="753" customWidth="1"/>
    <col min="275" max="277" width="9.140625" style="753" customWidth="1"/>
    <col min="278" max="512" width="9.140625" style="753"/>
    <col min="513" max="513" width="7.28515625" style="753" customWidth="1"/>
    <col min="514" max="514" width="13.7109375" style="753" customWidth="1"/>
    <col min="515" max="515" width="8.28515625" style="753" customWidth="1"/>
    <col min="516" max="522" width="4.7109375" style="753" customWidth="1"/>
    <col min="523" max="525" width="4.28515625" style="753" customWidth="1"/>
    <col min="526" max="526" width="6.140625" style="753" customWidth="1"/>
    <col min="527" max="527" width="6" style="753" customWidth="1"/>
    <col min="528" max="528" width="12.28515625" style="753" customWidth="1"/>
    <col min="529" max="529" width="9.140625" style="753" customWidth="1"/>
    <col min="530" max="530" width="3.85546875" style="753" customWidth="1"/>
    <col min="531" max="533" width="9.140625" style="753" customWidth="1"/>
    <col min="534" max="768" width="9.140625" style="753"/>
    <col min="769" max="769" width="7.28515625" style="753" customWidth="1"/>
    <col min="770" max="770" width="13.7109375" style="753" customWidth="1"/>
    <col min="771" max="771" width="8.28515625" style="753" customWidth="1"/>
    <col min="772" max="778" width="4.7109375" style="753" customWidth="1"/>
    <col min="779" max="781" width="4.28515625" style="753" customWidth="1"/>
    <col min="782" max="782" width="6.140625" style="753" customWidth="1"/>
    <col min="783" max="783" width="6" style="753" customWidth="1"/>
    <col min="784" max="784" width="12.28515625" style="753" customWidth="1"/>
    <col min="785" max="785" width="9.140625" style="753" customWidth="1"/>
    <col min="786" max="786" width="3.85546875" style="753" customWidth="1"/>
    <col min="787" max="789" width="9.140625" style="753" customWidth="1"/>
    <col min="790" max="1024" width="9.140625" style="753"/>
    <col min="1025" max="1025" width="7.28515625" style="753" customWidth="1"/>
    <col min="1026" max="1026" width="13.7109375" style="753" customWidth="1"/>
    <col min="1027" max="1027" width="8.28515625" style="753" customWidth="1"/>
    <col min="1028" max="1034" width="4.7109375" style="753" customWidth="1"/>
    <col min="1035" max="1037" width="4.28515625" style="753" customWidth="1"/>
    <col min="1038" max="1038" width="6.140625" style="753" customWidth="1"/>
    <col min="1039" max="1039" width="6" style="753" customWidth="1"/>
    <col min="1040" max="1040" width="12.28515625" style="753" customWidth="1"/>
    <col min="1041" max="1041" width="9.140625" style="753" customWidth="1"/>
    <col min="1042" max="1042" width="3.85546875" style="753" customWidth="1"/>
    <col min="1043" max="1045" width="9.140625" style="753" customWidth="1"/>
    <col min="1046" max="1280" width="9.140625" style="753"/>
    <col min="1281" max="1281" width="7.28515625" style="753" customWidth="1"/>
    <col min="1282" max="1282" width="13.7109375" style="753" customWidth="1"/>
    <col min="1283" max="1283" width="8.28515625" style="753" customWidth="1"/>
    <col min="1284" max="1290" width="4.7109375" style="753" customWidth="1"/>
    <col min="1291" max="1293" width="4.28515625" style="753" customWidth="1"/>
    <col min="1294" max="1294" width="6.140625" style="753" customWidth="1"/>
    <col min="1295" max="1295" width="6" style="753" customWidth="1"/>
    <col min="1296" max="1296" width="12.28515625" style="753" customWidth="1"/>
    <col min="1297" max="1297" width="9.140625" style="753" customWidth="1"/>
    <col min="1298" max="1298" width="3.85546875" style="753" customWidth="1"/>
    <col min="1299" max="1301" width="9.140625" style="753" customWidth="1"/>
    <col min="1302" max="1536" width="9.140625" style="753"/>
    <col min="1537" max="1537" width="7.28515625" style="753" customWidth="1"/>
    <col min="1538" max="1538" width="13.7109375" style="753" customWidth="1"/>
    <col min="1539" max="1539" width="8.28515625" style="753" customWidth="1"/>
    <col min="1540" max="1546" width="4.7109375" style="753" customWidth="1"/>
    <col min="1547" max="1549" width="4.28515625" style="753" customWidth="1"/>
    <col min="1550" max="1550" width="6.140625" style="753" customWidth="1"/>
    <col min="1551" max="1551" width="6" style="753" customWidth="1"/>
    <col min="1552" max="1552" width="12.28515625" style="753" customWidth="1"/>
    <col min="1553" max="1553" width="9.140625" style="753" customWidth="1"/>
    <col min="1554" max="1554" width="3.85546875" style="753" customWidth="1"/>
    <col min="1555" max="1557" width="9.140625" style="753" customWidth="1"/>
    <col min="1558" max="1792" width="9.140625" style="753"/>
    <col min="1793" max="1793" width="7.28515625" style="753" customWidth="1"/>
    <col min="1794" max="1794" width="13.7109375" style="753" customWidth="1"/>
    <col min="1795" max="1795" width="8.28515625" style="753" customWidth="1"/>
    <col min="1796" max="1802" width="4.7109375" style="753" customWidth="1"/>
    <col min="1803" max="1805" width="4.28515625" style="753" customWidth="1"/>
    <col min="1806" max="1806" width="6.140625" style="753" customWidth="1"/>
    <col min="1807" max="1807" width="6" style="753" customWidth="1"/>
    <col min="1808" max="1808" width="12.28515625" style="753" customWidth="1"/>
    <col min="1809" max="1809" width="9.140625" style="753" customWidth="1"/>
    <col min="1810" max="1810" width="3.85546875" style="753" customWidth="1"/>
    <col min="1811" max="1813" width="9.140625" style="753" customWidth="1"/>
    <col min="1814" max="2048" width="9.140625" style="753"/>
    <col min="2049" max="2049" width="7.28515625" style="753" customWidth="1"/>
    <col min="2050" max="2050" width="13.7109375" style="753" customWidth="1"/>
    <col min="2051" max="2051" width="8.28515625" style="753" customWidth="1"/>
    <col min="2052" max="2058" width="4.7109375" style="753" customWidth="1"/>
    <col min="2059" max="2061" width="4.28515625" style="753" customWidth="1"/>
    <col min="2062" max="2062" width="6.140625" style="753" customWidth="1"/>
    <col min="2063" max="2063" width="6" style="753" customWidth="1"/>
    <col min="2064" max="2064" width="12.28515625" style="753" customWidth="1"/>
    <col min="2065" max="2065" width="9.140625" style="753" customWidth="1"/>
    <col min="2066" max="2066" width="3.85546875" style="753" customWidth="1"/>
    <col min="2067" max="2069" width="9.140625" style="753" customWidth="1"/>
    <col min="2070" max="2304" width="9.140625" style="753"/>
    <col min="2305" max="2305" width="7.28515625" style="753" customWidth="1"/>
    <col min="2306" max="2306" width="13.7109375" style="753" customWidth="1"/>
    <col min="2307" max="2307" width="8.28515625" style="753" customWidth="1"/>
    <col min="2308" max="2314" width="4.7109375" style="753" customWidth="1"/>
    <col min="2315" max="2317" width="4.28515625" style="753" customWidth="1"/>
    <col min="2318" max="2318" width="6.140625" style="753" customWidth="1"/>
    <col min="2319" max="2319" width="6" style="753" customWidth="1"/>
    <col min="2320" max="2320" width="12.28515625" style="753" customWidth="1"/>
    <col min="2321" max="2321" width="9.140625" style="753" customWidth="1"/>
    <col min="2322" max="2322" width="3.85546875" style="753" customWidth="1"/>
    <col min="2323" max="2325" width="9.140625" style="753" customWidth="1"/>
    <col min="2326" max="2560" width="9.140625" style="753"/>
    <col min="2561" max="2561" width="7.28515625" style="753" customWidth="1"/>
    <col min="2562" max="2562" width="13.7109375" style="753" customWidth="1"/>
    <col min="2563" max="2563" width="8.28515625" style="753" customWidth="1"/>
    <col min="2564" max="2570" width="4.7109375" style="753" customWidth="1"/>
    <col min="2571" max="2573" width="4.28515625" style="753" customWidth="1"/>
    <col min="2574" max="2574" width="6.140625" style="753" customWidth="1"/>
    <col min="2575" max="2575" width="6" style="753" customWidth="1"/>
    <col min="2576" max="2576" width="12.28515625" style="753" customWidth="1"/>
    <col min="2577" max="2577" width="9.140625" style="753" customWidth="1"/>
    <col min="2578" max="2578" width="3.85546875" style="753" customWidth="1"/>
    <col min="2579" max="2581" width="9.140625" style="753" customWidth="1"/>
    <col min="2582" max="2816" width="9.140625" style="753"/>
    <col min="2817" max="2817" width="7.28515625" style="753" customWidth="1"/>
    <col min="2818" max="2818" width="13.7109375" style="753" customWidth="1"/>
    <col min="2819" max="2819" width="8.28515625" style="753" customWidth="1"/>
    <col min="2820" max="2826" width="4.7109375" style="753" customWidth="1"/>
    <col min="2827" max="2829" width="4.28515625" style="753" customWidth="1"/>
    <col min="2830" max="2830" width="6.140625" style="753" customWidth="1"/>
    <col min="2831" max="2831" width="6" style="753" customWidth="1"/>
    <col min="2832" max="2832" width="12.28515625" style="753" customWidth="1"/>
    <col min="2833" max="2833" width="9.140625" style="753" customWidth="1"/>
    <col min="2834" max="2834" width="3.85546875" style="753" customWidth="1"/>
    <col min="2835" max="2837" width="9.140625" style="753" customWidth="1"/>
    <col min="2838" max="3072" width="9.140625" style="753"/>
    <col min="3073" max="3073" width="7.28515625" style="753" customWidth="1"/>
    <col min="3074" max="3074" width="13.7109375" style="753" customWidth="1"/>
    <col min="3075" max="3075" width="8.28515625" style="753" customWidth="1"/>
    <col min="3076" max="3082" width="4.7109375" style="753" customWidth="1"/>
    <col min="3083" max="3085" width="4.28515625" style="753" customWidth="1"/>
    <col min="3086" max="3086" width="6.140625" style="753" customWidth="1"/>
    <col min="3087" max="3087" width="6" style="753" customWidth="1"/>
    <col min="3088" max="3088" width="12.28515625" style="753" customWidth="1"/>
    <col min="3089" max="3089" width="9.140625" style="753" customWidth="1"/>
    <col min="3090" max="3090" width="3.85546875" style="753" customWidth="1"/>
    <col min="3091" max="3093" width="9.140625" style="753" customWidth="1"/>
    <col min="3094" max="3328" width="9.140625" style="753"/>
    <col min="3329" max="3329" width="7.28515625" style="753" customWidth="1"/>
    <col min="3330" max="3330" width="13.7109375" style="753" customWidth="1"/>
    <col min="3331" max="3331" width="8.28515625" style="753" customWidth="1"/>
    <col min="3332" max="3338" width="4.7109375" style="753" customWidth="1"/>
    <col min="3339" max="3341" width="4.28515625" style="753" customWidth="1"/>
    <col min="3342" max="3342" width="6.140625" style="753" customWidth="1"/>
    <col min="3343" max="3343" width="6" style="753" customWidth="1"/>
    <col min="3344" max="3344" width="12.28515625" style="753" customWidth="1"/>
    <col min="3345" max="3345" width="9.140625" style="753" customWidth="1"/>
    <col min="3346" max="3346" width="3.85546875" style="753" customWidth="1"/>
    <col min="3347" max="3349" width="9.140625" style="753" customWidth="1"/>
    <col min="3350" max="3584" width="9.140625" style="753"/>
    <col min="3585" max="3585" width="7.28515625" style="753" customWidth="1"/>
    <col min="3586" max="3586" width="13.7109375" style="753" customWidth="1"/>
    <col min="3587" max="3587" width="8.28515625" style="753" customWidth="1"/>
    <col min="3588" max="3594" width="4.7109375" style="753" customWidth="1"/>
    <col min="3595" max="3597" width="4.28515625" style="753" customWidth="1"/>
    <col min="3598" max="3598" width="6.140625" style="753" customWidth="1"/>
    <col min="3599" max="3599" width="6" style="753" customWidth="1"/>
    <col min="3600" max="3600" width="12.28515625" style="753" customWidth="1"/>
    <col min="3601" max="3601" width="9.140625" style="753" customWidth="1"/>
    <col min="3602" max="3602" width="3.85546875" style="753" customWidth="1"/>
    <col min="3603" max="3605" width="9.140625" style="753" customWidth="1"/>
    <col min="3606" max="3840" width="9.140625" style="753"/>
    <col min="3841" max="3841" width="7.28515625" style="753" customWidth="1"/>
    <col min="3842" max="3842" width="13.7109375" style="753" customWidth="1"/>
    <col min="3843" max="3843" width="8.28515625" style="753" customWidth="1"/>
    <col min="3844" max="3850" width="4.7109375" style="753" customWidth="1"/>
    <col min="3851" max="3853" width="4.28515625" style="753" customWidth="1"/>
    <col min="3854" max="3854" width="6.140625" style="753" customWidth="1"/>
    <col min="3855" max="3855" width="6" style="753" customWidth="1"/>
    <col min="3856" max="3856" width="12.28515625" style="753" customWidth="1"/>
    <col min="3857" max="3857" width="9.140625" style="753" customWidth="1"/>
    <col min="3858" max="3858" width="3.85546875" style="753" customWidth="1"/>
    <col min="3859" max="3861" width="9.140625" style="753" customWidth="1"/>
    <col min="3862" max="4096" width="9.140625" style="753"/>
    <col min="4097" max="4097" width="7.28515625" style="753" customWidth="1"/>
    <col min="4098" max="4098" width="13.7109375" style="753" customWidth="1"/>
    <col min="4099" max="4099" width="8.28515625" style="753" customWidth="1"/>
    <col min="4100" max="4106" width="4.7109375" style="753" customWidth="1"/>
    <col min="4107" max="4109" width="4.28515625" style="753" customWidth="1"/>
    <col min="4110" max="4110" width="6.140625" style="753" customWidth="1"/>
    <col min="4111" max="4111" width="6" style="753" customWidth="1"/>
    <col min="4112" max="4112" width="12.28515625" style="753" customWidth="1"/>
    <col min="4113" max="4113" width="9.140625" style="753" customWidth="1"/>
    <col min="4114" max="4114" width="3.85546875" style="753" customWidth="1"/>
    <col min="4115" max="4117" width="9.140625" style="753" customWidth="1"/>
    <col min="4118" max="4352" width="9.140625" style="753"/>
    <col min="4353" max="4353" width="7.28515625" style="753" customWidth="1"/>
    <col min="4354" max="4354" width="13.7109375" style="753" customWidth="1"/>
    <col min="4355" max="4355" width="8.28515625" style="753" customWidth="1"/>
    <col min="4356" max="4362" width="4.7109375" style="753" customWidth="1"/>
    <col min="4363" max="4365" width="4.28515625" style="753" customWidth="1"/>
    <col min="4366" max="4366" width="6.140625" style="753" customWidth="1"/>
    <col min="4367" max="4367" width="6" style="753" customWidth="1"/>
    <col min="4368" max="4368" width="12.28515625" style="753" customWidth="1"/>
    <col min="4369" max="4369" width="9.140625" style="753" customWidth="1"/>
    <col min="4370" max="4370" width="3.85546875" style="753" customWidth="1"/>
    <col min="4371" max="4373" width="9.140625" style="753" customWidth="1"/>
    <col min="4374" max="4608" width="9.140625" style="753"/>
    <col min="4609" max="4609" width="7.28515625" style="753" customWidth="1"/>
    <col min="4610" max="4610" width="13.7109375" style="753" customWidth="1"/>
    <col min="4611" max="4611" width="8.28515625" style="753" customWidth="1"/>
    <col min="4612" max="4618" width="4.7109375" style="753" customWidth="1"/>
    <col min="4619" max="4621" width="4.28515625" style="753" customWidth="1"/>
    <col min="4622" max="4622" width="6.140625" style="753" customWidth="1"/>
    <col min="4623" max="4623" width="6" style="753" customWidth="1"/>
    <col min="4624" max="4624" width="12.28515625" style="753" customWidth="1"/>
    <col min="4625" max="4625" width="9.140625" style="753" customWidth="1"/>
    <col min="4626" max="4626" width="3.85546875" style="753" customWidth="1"/>
    <col min="4627" max="4629" width="9.140625" style="753" customWidth="1"/>
    <col min="4630" max="4864" width="9.140625" style="753"/>
    <col min="4865" max="4865" width="7.28515625" style="753" customWidth="1"/>
    <col min="4866" max="4866" width="13.7109375" style="753" customWidth="1"/>
    <col min="4867" max="4867" width="8.28515625" style="753" customWidth="1"/>
    <col min="4868" max="4874" width="4.7109375" style="753" customWidth="1"/>
    <col min="4875" max="4877" width="4.28515625" style="753" customWidth="1"/>
    <col min="4878" max="4878" width="6.140625" style="753" customWidth="1"/>
    <col min="4879" max="4879" width="6" style="753" customWidth="1"/>
    <col min="4880" max="4880" width="12.28515625" style="753" customWidth="1"/>
    <col min="4881" max="4881" width="9.140625" style="753" customWidth="1"/>
    <col min="4882" max="4882" width="3.85546875" style="753" customWidth="1"/>
    <col min="4883" max="4885" width="9.140625" style="753" customWidth="1"/>
    <col min="4886" max="5120" width="9.140625" style="753"/>
    <col min="5121" max="5121" width="7.28515625" style="753" customWidth="1"/>
    <col min="5122" max="5122" width="13.7109375" style="753" customWidth="1"/>
    <col min="5123" max="5123" width="8.28515625" style="753" customWidth="1"/>
    <col min="5124" max="5130" width="4.7109375" style="753" customWidth="1"/>
    <col min="5131" max="5133" width="4.28515625" style="753" customWidth="1"/>
    <col min="5134" max="5134" width="6.140625" style="753" customWidth="1"/>
    <col min="5135" max="5135" width="6" style="753" customWidth="1"/>
    <col min="5136" max="5136" width="12.28515625" style="753" customWidth="1"/>
    <col min="5137" max="5137" width="9.140625" style="753" customWidth="1"/>
    <col min="5138" max="5138" width="3.85546875" style="753" customWidth="1"/>
    <col min="5139" max="5141" width="9.140625" style="753" customWidth="1"/>
    <col min="5142" max="5376" width="9.140625" style="753"/>
    <col min="5377" max="5377" width="7.28515625" style="753" customWidth="1"/>
    <col min="5378" max="5378" width="13.7109375" style="753" customWidth="1"/>
    <col min="5379" max="5379" width="8.28515625" style="753" customWidth="1"/>
    <col min="5380" max="5386" width="4.7109375" style="753" customWidth="1"/>
    <col min="5387" max="5389" width="4.28515625" style="753" customWidth="1"/>
    <col min="5390" max="5390" width="6.140625" style="753" customWidth="1"/>
    <col min="5391" max="5391" width="6" style="753" customWidth="1"/>
    <col min="5392" max="5392" width="12.28515625" style="753" customWidth="1"/>
    <col min="5393" max="5393" width="9.140625" style="753" customWidth="1"/>
    <col min="5394" max="5394" width="3.85546875" style="753" customWidth="1"/>
    <col min="5395" max="5397" width="9.140625" style="753" customWidth="1"/>
    <col min="5398" max="5632" width="9.140625" style="753"/>
    <col min="5633" max="5633" width="7.28515625" style="753" customWidth="1"/>
    <col min="5634" max="5634" width="13.7109375" style="753" customWidth="1"/>
    <col min="5635" max="5635" width="8.28515625" style="753" customWidth="1"/>
    <col min="5636" max="5642" width="4.7109375" style="753" customWidth="1"/>
    <col min="5643" max="5645" width="4.28515625" style="753" customWidth="1"/>
    <col min="5646" max="5646" width="6.140625" style="753" customWidth="1"/>
    <col min="5647" max="5647" width="6" style="753" customWidth="1"/>
    <col min="5648" max="5648" width="12.28515625" style="753" customWidth="1"/>
    <col min="5649" max="5649" width="9.140625" style="753" customWidth="1"/>
    <col min="5650" max="5650" width="3.85546875" style="753" customWidth="1"/>
    <col min="5651" max="5653" width="9.140625" style="753" customWidth="1"/>
    <col min="5654" max="5888" width="9.140625" style="753"/>
    <col min="5889" max="5889" width="7.28515625" style="753" customWidth="1"/>
    <col min="5890" max="5890" width="13.7109375" style="753" customWidth="1"/>
    <col min="5891" max="5891" width="8.28515625" style="753" customWidth="1"/>
    <col min="5892" max="5898" width="4.7109375" style="753" customWidth="1"/>
    <col min="5899" max="5901" width="4.28515625" style="753" customWidth="1"/>
    <col min="5902" max="5902" width="6.140625" style="753" customWidth="1"/>
    <col min="5903" max="5903" width="6" style="753" customWidth="1"/>
    <col min="5904" max="5904" width="12.28515625" style="753" customWidth="1"/>
    <col min="5905" max="5905" width="9.140625" style="753" customWidth="1"/>
    <col min="5906" max="5906" width="3.85546875" style="753" customWidth="1"/>
    <col min="5907" max="5909" width="9.140625" style="753" customWidth="1"/>
    <col min="5910" max="6144" width="9.140625" style="753"/>
    <col min="6145" max="6145" width="7.28515625" style="753" customWidth="1"/>
    <col min="6146" max="6146" width="13.7109375" style="753" customWidth="1"/>
    <col min="6147" max="6147" width="8.28515625" style="753" customWidth="1"/>
    <col min="6148" max="6154" width="4.7109375" style="753" customWidth="1"/>
    <col min="6155" max="6157" width="4.28515625" style="753" customWidth="1"/>
    <col min="6158" max="6158" width="6.140625" style="753" customWidth="1"/>
    <col min="6159" max="6159" width="6" style="753" customWidth="1"/>
    <col min="6160" max="6160" width="12.28515625" style="753" customWidth="1"/>
    <col min="6161" max="6161" width="9.140625" style="753" customWidth="1"/>
    <col min="6162" max="6162" width="3.85546875" style="753" customWidth="1"/>
    <col min="6163" max="6165" width="9.140625" style="753" customWidth="1"/>
    <col min="6166" max="6400" width="9.140625" style="753"/>
    <col min="6401" max="6401" width="7.28515625" style="753" customWidth="1"/>
    <col min="6402" max="6402" width="13.7109375" style="753" customWidth="1"/>
    <col min="6403" max="6403" width="8.28515625" style="753" customWidth="1"/>
    <col min="6404" max="6410" width="4.7109375" style="753" customWidth="1"/>
    <col min="6411" max="6413" width="4.28515625" style="753" customWidth="1"/>
    <col min="6414" max="6414" width="6.140625" style="753" customWidth="1"/>
    <col min="6415" max="6415" width="6" style="753" customWidth="1"/>
    <col min="6416" max="6416" width="12.28515625" style="753" customWidth="1"/>
    <col min="6417" max="6417" width="9.140625" style="753" customWidth="1"/>
    <col min="6418" max="6418" width="3.85546875" style="753" customWidth="1"/>
    <col min="6419" max="6421" width="9.140625" style="753" customWidth="1"/>
    <col min="6422" max="6656" width="9.140625" style="753"/>
    <col min="6657" max="6657" width="7.28515625" style="753" customWidth="1"/>
    <col min="6658" max="6658" width="13.7109375" style="753" customWidth="1"/>
    <col min="6659" max="6659" width="8.28515625" style="753" customWidth="1"/>
    <col min="6660" max="6666" width="4.7109375" style="753" customWidth="1"/>
    <col min="6667" max="6669" width="4.28515625" style="753" customWidth="1"/>
    <col min="6670" max="6670" width="6.140625" style="753" customWidth="1"/>
    <col min="6671" max="6671" width="6" style="753" customWidth="1"/>
    <col min="6672" max="6672" width="12.28515625" style="753" customWidth="1"/>
    <col min="6673" max="6673" width="9.140625" style="753" customWidth="1"/>
    <col min="6674" max="6674" width="3.85546875" style="753" customWidth="1"/>
    <col min="6675" max="6677" width="9.140625" style="753" customWidth="1"/>
    <col min="6678" max="6912" width="9.140625" style="753"/>
    <col min="6913" max="6913" width="7.28515625" style="753" customWidth="1"/>
    <col min="6914" max="6914" width="13.7109375" style="753" customWidth="1"/>
    <col min="6915" max="6915" width="8.28515625" style="753" customWidth="1"/>
    <col min="6916" max="6922" width="4.7109375" style="753" customWidth="1"/>
    <col min="6923" max="6925" width="4.28515625" style="753" customWidth="1"/>
    <col min="6926" max="6926" width="6.140625" style="753" customWidth="1"/>
    <col min="6927" max="6927" width="6" style="753" customWidth="1"/>
    <col min="6928" max="6928" width="12.28515625" style="753" customWidth="1"/>
    <col min="6929" max="6929" width="9.140625" style="753" customWidth="1"/>
    <col min="6930" max="6930" width="3.85546875" style="753" customWidth="1"/>
    <col min="6931" max="6933" width="9.140625" style="753" customWidth="1"/>
    <col min="6934" max="7168" width="9.140625" style="753"/>
    <col min="7169" max="7169" width="7.28515625" style="753" customWidth="1"/>
    <col min="7170" max="7170" width="13.7109375" style="753" customWidth="1"/>
    <col min="7171" max="7171" width="8.28515625" style="753" customWidth="1"/>
    <col min="7172" max="7178" width="4.7109375" style="753" customWidth="1"/>
    <col min="7179" max="7181" width="4.28515625" style="753" customWidth="1"/>
    <col min="7182" max="7182" width="6.140625" style="753" customWidth="1"/>
    <col min="7183" max="7183" width="6" style="753" customWidth="1"/>
    <col min="7184" max="7184" width="12.28515625" style="753" customWidth="1"/>
    <col min="7185" max="7185" width="9.140625" style="753" customWidth="1"/>
    <col min="7186" max="7186" width="3.85546875" style="753" customWidth="1"/>
    <col min="7187" max="7189" width="9.140625" style="753" customWidth="1"/>
    <col min="7190" max="7424" width="9.140625" style="753"/>
    <col min="7425" max="7425" width="7.28515625" style="753" customWidth="1"/>
    <col min="7426" max="7426" width="13.7109375" style="753" customWidth="1"/>
    <col min="7427" max="7427" width="8.28515625" style="753" customWidth="1"/>
    <col min="7428" max="7434" width="4.7109375" style="753" customWidth="1"/>
    <col min="7435" max="7437" width="4.28515625" style="753" customWidth="1"/>
    <col min="7438" max="7438" width="6.140625" style="753" customWidth="1"/>
    <col min="7439" max="7439" width="6" style="753" customWidth="1"/>
    <col min="7440" max="7440" width="12.28515625" style="753" customWidth="1"/>
    <col min="7441" max="7441" width="9.140625" style="753" customWidth="1"/>
    <col min="7442" max="7442" width="3.85546875" style="753" customWidth="1"/>
    <col min="7443" max="7445" width="9.140625" style="753" customWidth="1"/>
    <col min="7446" max="7680" width="9.140625" style="753"/>
    <col min="7681" max="7681" width="7.28515625" style="753" customWidth="1"/>
    <col min="7682" max="7682" width="13.7109375" style="753" customWidth="1"/>
    <col min="7683" max="7683" width="8.28515625" style="753" customWidth="1"/>
    <col min="7684" max="7690" width="4.7109375" style="753" customWidth="1"/>
    <col min="7691" max="7693" width="4.28515625" style="753" customWidth="1"/>
    <col min="7694" max="7694" width="6.140625" style="753" customWidth="1"/>
    <col min="7695" max="7695" width="6" style="753" customWidth="1"/>
    <col min="7696" max="7696" width="12.28515625" style="753" customWidth="1"/>
    <col min="7697" max="7697" width="9.140625" style="753" customWidth="1"/>
    <col min="7698" max="7698" width="3.85546875" style="753" customWidth="1"/>
    <col min="7699" max="7701" width="9.140625" style="753" customWidth="1"/>
    <col min="7702" max="7936" width="9.140625" style="753"/>
    <col min="7937" max="7937" width="7.28515625" style="753" customWidth="1"/>
    <col min="7938" max="7938" width="13.7109375" style="753" customWidth="1"/>
    <col min="7939" max="7939" width="8.28515625" style="753" customWidth="1"/>
    <col min="7940" max="7946" width="4.7109375" style="753" customWidth="1"/>
    <col min="7947" max="7949" width="4.28515625" style="753" customWidth="1"/>
    <col min="7950" max="7950" width="6.140625" style="753" customWidth="1"/>
    <col min="7951" max="7951" width="6" style="753" customWidth="1"/>
    <col min="7952" max="7952" width="12.28515625" style="753" customWidth="1"/>
    <col min="7953" max="7953" width="9.140625" style="753" customWidth="1"/>
    <col min="7954" max="7954" width="3.85546875" style="753" customWidth="1"/>
    <col min="7955" max="7957" width="9.140625" style="753" customWidth="1"/>
    <col min="7958" max="8192" width="9.140625" style="753"/>
    <col min="8193" max="8193" width="7.28515625" style="753" customWidth="1"/>
    <col min="8194" max="8194" width="13.7109375" style="753" customWidth="1"/>
    <col min="8195" max="8195" width="8.28515625" style="753" customWidth="1"/>
    <col min="8196" max="8202" width="4.7109375" style="753" customWidth="1"/>
    <col min="8203" max="8205" width="4.28515625" style="753" customWidth="1"/>
    <col min="8206" max="8206" width="6.140625" style="753" customWidth="1"/>
    <col min="8207" max="8207" width="6" style="753" customWidth="1"/>
    <col min="8208" max="8208" width="12.28515625" style="753" customWidth="1"/>
    <col min="8209" max="8209" width="9.140625" style="753" customWidth="1"/>
    <col min="8210" max="8210" width="3.85546875" style="753" customWidth="1"/>
    <col min="8211" max="8213" width="9.140625" style="753" customWidth="1"/>
    <col min="8214" max="8448" width="9.140625" style="753"/>
    <col min="8449" max="8449" width="7.28515625" style="753" customWidth="1"/>
    <col min="8450" max="8450" width="13.7109375" style="753" customWidth="1"/>
    <col min="8451" max="8451" width="8.28515625" style="753" customWidth="1"/>
    <col min="8452" max="8458" width="4.7109375" style="753" customWidth="1"/>
    <col min="8459" max="8461" width="4.28515625" style="753" customWidth="1"/>
    <col min="8462" max="8462" width="6.140625" style="753" customWidth="1"/>
    <col min="8463" max="8463" width="6" style="753" customWidth="1"/>
    <col min="8464" max="8464" width="12.28515625" style="753" customWidth="1"/>
    <col min="8465" max="8465" width="9.140625" style="753" customWidth="1"/>
    <col min="8466" max="8466" width="3.85546875" style="753" customWidth="1"/>
    <col min="8467" max="8469" width="9.140625" style="753" customWidth="1"/>
    <col min="8470" max="8704" width="9.140625" style="753"/>
    <col min="8705" max="8705" width="7.28515625" style="753" customWidth="1"/>
    <col min="8706" max="8706" width="13.7109375" style="753" customWidth="1"/>
    <col min="8707" max="8707" width="8.28515625" style="753" customWidth="1"/>
    <col min="8708" max="8714" width="4.7109375" style="753" customWidth="1"/>
    <col min="8715" max="8717" width="4.28515625" style="753" customWidth="1"/>
    <col min="8718" max="8718" width="6.140625" style="753" customWidth="1"/>
    <col min="8719" max="8719" width="6" style="753" customWidth="1"/>
    <col min="8720" max="8720" width="12.28515625" style="753" customWidth="1"/>
    <col min="8721" max="8721" width="9.140625" style="753" customWidth="1"/>
    <col min="8722" max="8722" width="3.85546875" style="753" customWidth="1"/>
    <col min="8723" max="8725" width="9.140625" style="753" customWidth="1"/>
    <col min="8726" max="8960" width="9.140625" style="753"/>
    <col min="8961" max="8961" width="7.28515625" style="753" customWidth="1"/>
    <col min="8962" max="8962" width="13.7109375" style="753" customWidth="1"/>
    <col min="8963" max="8963" width="8.28515625" style="753" customWidth="1"/>
    <col min="8964" max="8970" width="4.7109375" style="753" customWidth="1"/>
    <col min="8971" max="8973" width="4.28515625" style="753" customWidth="1"/>
    <col min="8974" max="8974" width="6.140625" style="753" customWidth="1"/>
    <col min="8975" max="8975" width="6" style="753" customWidth="1"/>
    <col min="8976" max="8976" width="12.28515625" style="753" customWidth="1"/>
    <col min="8977" max="8977" width="9.140625" style="753" customWidth="1"/>
    <col min="8978" max="8978" width="3.85546875" style="753" customWidth="1"/>
    <col min="8979" max="8981" width="9.140625" style="753" customWidth="1"/>
    <col min="8982" max="9216" width="9.140625" style="753"/>
    <col min="9217" max="9217" width="7.28515625" style="753" customWidth="1"/>
    <col min="9218" max="9218" width="13.7109375" style="753" customWidth="1"/>
    <col min="9219" max="9219" width="8.28515625" style="753" customWidth="1"/>
    <col min="9220" max="9226" width="4.7109375" style="753" customWidth="1"/>
    <col min="9227" max="9229" width="4.28515625" style="753" customWidth="1"/>
    <col min="9230" max="9230" width="6.140625" style="753" customWidth="1"/>
    <col min="9231" max="9231" width="6" style="753" customWidth="1"/>
    <col min="9232" max="9232" width="12.28515625" style="753" customWidth="1"/>
    <col min="9233" max="9233" width="9.140625" style="753" customWidth="1"/>
    <col min="9234" max="9234" width="3.85546875" style="753" customWidth="1"/>
    <col min="9235" max="9237" width="9.140625" style="753" customWidth="1"/>
    <col min="9238" max="9472" width="9.140625" style="753"/>
    <col min="9473" max="9473" width="7.28515625" style="753" customWidth="1"/>
    <col min="9474" max="9474" width="13.7109375" style="753" customWidth="1"/>
    <col min="9475" max="9475" width="8.28515625" style="753" customWidth="1"/>
    <col min="9476" max="9482" width="4.7109375" style="753" customWidth="1"/>
    <col min="9483" max="9485" width="4.28515625" style="753" customWidth="1"/>
    <col min="9486" max="9486" width="6.140625" style="753" customWidth="1"/>
    <col min="9487" max="9487" width="6" style="753" customWidth="1"/>
    <col min="9488" max="9488" width="12.28515625" style="753" customWidth="1"/>
    <col min="9489" max="9489" width="9.140625" style="753" customWidth="1"/>
    <col min="9490" max="9490" width="3.85546875" style="753" customWidth="1"/>
    <col min="9491" max="9493" width="9.140625" style="753" customWidth="1"/>
    <col min="9494" max="9728" width="9.140625" style="753"/>
    <col min="9729" max="9729" width="7.28515625" style="753" customWidth="1"/>
    <col min="9730" max="9730" width="13.7109375" style="753" customWidth="1"/>
    <col min="9731" max="9731" width="8.28515625" style="753" customWidth="1"/>
    <col min="9732" max="9738" width="4.7109375" style="753" customWidth="1"/>
    <col min="9739" max="9741" width="4.28515625" style="753" customWidth="1"/>
    <col min="9742" max="9742" width="6.140625" style="753" customWidth="1"/>
    <col min="9743" max="9743" width="6" style="753" customWidth="1"/>
    <col min="9744" max="9744" width="12.28515625" style="753" customWidth="1"/>
    <col min="9745" max="9745" width="9.140625" style="753" customWidth="1"/>
    <col min="9746" max="9746" width="3.85546875" style="753" customWidth="1"/>
    <col min="9747" max="9749" width="9.140625" style="753" customWidth="1"/>
    <col min="9750" max="9984" width="9.140625" style="753"/>
    <col min="9985" max="9985" width="7.28515625" style="753" customWidth="1"/>
    <col min="9986" max="9986" width="13.7109375" style="753" customWidth="1"/>
    <col min="9987" max="9987" width="8.28515625" style="753" customWidth="1"/>
    <col min="9988" max="9994" width="4.7109375" style="753" customWidth="1"/>
    <col min="9995" max="9997" width="4.28515625" style="753" customWidth="1"/>
    <col min="9998" max="9998" width="6.140625" style="753" customWidth="1"/>
    <col min="9999" max="9999" width="6" style="753" customWidth="1"/>
    <col min="10000" max="10000" width="12.28515625" style="753" customWidth="1"/>
    <col min="10001" max="10001" width="9.140625" style="753" customWidth="1"/>
    <col min="10002" max="10002" width="3.85546875" style="753" customWidth="1"/>
    <col min="10003" max="10005" width="9.140625" style="753" customWidth="1"/>
    <col min="10006" max="10240" width="9.140625" style="753"/>
    <col min="10241" max="10241" width="7.28515625" style="753" customWidth="1"/>
    <col min="10242" max="10242" width="13.7109375" style="753" customWidth="1"/>
    <col min="10243" max="10243" width="8.28515625" style="753" customWidth="1"/>
    <col min="10244" max="10250" width="4.7109375" style="753" customWidth="1"/>
    <col min="10251" max="10253" width="4.28515625" style="753" customWidth="1"/>
    <col min="10254" max="10254" width="6.140625" style="753" customWidth="1"/>
    <col min="10255" max="10255" width="6" style="753" customWidth="1"/>
    <col min="10256" max="10256" width="12.28515625" style="753" customWidth="1"/>
    <col min="10257" max="10257" width="9.140625" style="753" customWidth="1"/>
    <col min="10258" max="10258" width="3.85546875" style="753" customWidth="1"/>
    <col min="10259" max="10261" width="9.140625" style="753" customWidth="1"/>
    <col min="10262" max="10496" width="9.140625" style="753"/>
    <col min="10497" max="10497" width="7.28515625" style="753" customWidth="1"/>
    <col min="10498" max="10498" width="13.7109375" style="753" customWidth="1"/>
    <col min="10499" max="10499" width="8.28515625" style="753" customWidth="1"/>
    <col min="10500" max="10506" width="4.7109375" style="753" customWidth="1"/>
    <col min="10507" max="10509" width="4.28515625" style="753" customWidth="1"/>
    <col min="10510" max="10510" width="6.140625" style="753" customWidth="1"/>
    <col min="10511" max="10511" width="6" style="753" customWidth="1"/>
    <col min="10512" max="10512" width="12.28515625" style="753" customWidth="1"/>
    <col min="10513" max="10513" width="9.140625" style="753" customWidth="1"/>
    <col min="10514" max="10514" width="3.85546875" style="753" customWidth="1"/>
    <col min="10515" max="10517" width="9.140625" style="753" customWidth="1"/>
    <col min="10518" max="10752" width="9.140625" style="753"/>
    <col min="10753" max="10753" width="7.28515625" style="753" customWidth="1"/>
    <col min="10754" max="10754" width="13.7109375" style="753" customWidth="1"/>
    <col min="10755" max="10755" width="8.28515625" style="753" customWidth="1"/>
    <col min="10756" max="10762" width="4.7109375" style="753" customWidth="1"/>
    <col min="10763" max="10765" width="4.28515625" style="753" customWidth="1"/>
    <col min="10766" max="10766" width="6.140625" style="753" customWidth="1"/>
    <col min="10767" max="10767" width="6" style="753" customWidth="1"/>
    <col min="10768" max="10768" width="12.28515625" style="753" customWidth="1"/>
    <col min="10769" max="10769" width="9.140625" style="753" customWidth="1"/>
    <col min="10770" max="10770" width="3.85546875" style="753" customWidth="1"/>
    <col min="10771" max="10773" width="9.140625" style="753" customWidth="1"/>
    <col min="10774" max="11008" width="9.140625" style="753"/>
    <col min="11009" max="11009" width="7.28515625" style="753" customWidth="1"/>
    <col min="11010" max="11010" width="13.7109375" style="753" customWidth="1"/>
    <col min="11011" max="11011" width="8.28515625" style="753" customWidth="1"/>
    <col min="11012" max="11018" width="4.7109375" style="753" customWidth="1"/>
    <col min="11019" max="11021" width="4.28515625" style="753" customWidth="1"/>
    <col min="11022" max="11022" width="6.140625" style="753" customWidth="1"/>
    <col min="11023" max="11023" width="6" style="753" customWidth="1"/>
    <col min="11024" max="11024" width="12.28515625" style="753" customWidth="1"/>
    <col min="11025" max="11025" width="9.140625" style="753" customWidth="1"/>
    <col min="11026" max="11026" width="3.85546875" style="753" customWidth="1"/>
    <col min="11027" max="11029" width="9.140625" style="753" customWidth="1"/>
    <col min="11030" max="11264" width="9.140625" style="753"/>
    <col min="11265" max="11265" width="7.28515625" style="753" customWidth="1"/>
    <col min="11266" max="11266" width="13.7109375" style="753" customWidth="1"/>
    <col min="11267" max="11267" width="8.28515625" style="753" customWidth="1"/>
    <col min="11268" max="11274" width="4.7109375" style="753" customWidth="1"/>
    <col min="11275" max="11277" width="4.28515625" style="753" customWidth="1"/>
    <col min="11278" max="11278" width="6.140625" style="753" customWidth="1"/>
    <col min="11279" max="11279" width="6" style="753" customWidth="1"/>
    <col min="11280" max="11280" width="12.28515625" style="753" customWidth="1"/>
    <col min="11281" max="11281" width="9.140625" style="753" customWidth="1"/>
    <col min="11282" max="11282" width="3.85546875" style="753" customWidth="1"/>
    <col min="11283" max="11285" width="9.140625" style="753" customWidth="1"/>
    <col min="11286" max="11520" width="9.140625" style="753"/>
    <col min="11521" max="11521" width="7.28515625" style="753" customWidth="1"/>
    <col min="11522" max="11522" width="13.7109375" style="753" customWidth="1"/>
    <col min="11523" max="11523" width="8.28515625" style="753" customWidth="1"/>
    <col min="11524" max="11530" width="4.7109375" style="753" customWidth="1"/>
    <col min="11531" max="11533" width="4.28515625" style="753" customWidth="1"/>
    <col min="11534" max="11534" width="6.140625" style="753" customWidth="1"/>
    <col min="11535" max="11535" width="6" style="753" customWidth="1"/>
    <col min="11536" max="11536" width="12.28515625" style="753" customWidth="1"/>
    <col min="11537" max="11537" width="9.140625" style="753" customWidth="1"/>
    <col min="11538" max="11538" width="3.85546875" style="753" customWidth="1"/>
    <col min="11539" max="11541" width="9.140625" style="753" customWidth="1"/>
    <col min="11542" max="11776" width="9.140625" style="753"/>
    <col min="11777" max="11777" width="7.28515625" style="753" customWidth="1"/>
    <col min="11778" max="11778" width="13.7109375" style="753" customWidth="1"/>
    <col min="11779" max="11779" width="8.28515625" style="753" customWidth="1"/>
    <col min="11780" max="11786" width="4.7109375" style="753" customWidth="1"/>
    <col min="11787" max="11789" width="4.28515625" style="753" customWidth="1"/>
    <col min="11790" max="11790" width="6.140625" style="753" customWidth="1"/>
    <col min="11791" max="11791" width="6" style="753" customWidth="1"/>
    <col min="11792" max="11792" width="12.28515625" style="753" customWidth="1"/>
    <col min="11793" max="11793" width="9.140625" style="753" customWidth="1"/>
    <col min="11794" max="11794" width="3.85546875" style="753" customWidth="1"/>
    <col min="11795" max="11797" width="9.140625" style="753" customWidth="1"/>
    <col min="11798" max="12032" width="9.140625" style="753"/>
    <col min="12033" max="12033" width="7.28515625" style="753" customWidth="1"/>
    <col min="12034" max="12034" width="13.7109375" style="753" customWidth="1"/>
    <col min="12035" max="12035" width="8.28515625" style="753" customWidth="1"/>
    <col min="12036" max="12042" width="4.7109375" style="753" customWidth="1"/>
    <col min="12043" max="12045" width="4.28515625" style="753" customWidth="1"/>
    <col min="12046" max="12046" width="6.140625" style="753" customWidth="1"/>
    <col min="12047" max="12047" width="6" style="753" customWidth="1"/>
    <col min="12048" max="12048" width="12.28515625" style="753" customWidth="1"/>
    <col min="12049" max="12049" width="9.140625" style="753" customWidth="1"/>
    <col min="12050" max="12050" width="3.85546875" style="753" customWidth="1"/>
    <col min="12051" max="12053" width="9.140625" style="753" customWidth="1"/>
    <col min="12054" max="12288" width="9.140625" style="753"/>
    <col min="12289" max="12289" width="7.28515625" style="753" customWidth="1"/>
    <col min="12290" max="12290" width="13.7109375" style="753" customWidth="1"/>
    <col min="12291" max="12291" width="8.28515625" style="753" customWidth="1"/>
    <col min="12292" max="12298" width="4.7109375" style="753" customWidth="1"/>
    <col min="12299" max="12301" width="4.28515625" style="753" customWidth="1"/>
    <col min="12302" max="12302" width="6.140625" style="753" customWidth="1"/>
    <col min="12303" max="12303" width="6" style="753" customWidth="1"/>
    <col min="12304" max="12304" width="12.28515625" style="753" customWidth="1"/>
    <col min="12305" max="12305" width="9.140625" style="753" customWidth="1"/>
    <col min="12306" max="12306" width="3.85546875" style="753" customWidth="1"/>
    <col min="12307" max="12309" width="9.140625" style="753" customWidth="1"/>
    <col min="12310" max="12544" width="9.140625" style="753"/>
    <col min="12545" max="12545" width="7.28515625" style="753" customWidth="1"/>
    <col min="12546" max="12546" width="13.7109375" style="753" customWidth="1"/>
    <col min="12547" max="12547" width="8.28515625" style="753" customWidth="1"/>
    <col min="12548" max="12554" width="4.7109375" style="753" customWidth="1"/>
    <col min="12555" max="12557" width="4.28515625" style="753" customWidth="1"/>
    <col min="12558" max="12558" width="6.140625" style="753" customWidth="1"/>
    <col min="12559" max="12559" width="6" style="753" customWidth="1"/>
    <col min="12560" max="12560" width="12.28515625" style="753" customWidth="1"/>
    <col min="12561" max="12561" width="9.140625" style="753" customWidth="1"/>
    <col min="12562" max="12562" width="3.85546875" style="753" customWidth="1"/>
    <col min="12563" max="12565" width="9.140625" style="753" customWidth="1"/>
    <col min="12566" max="12800" width="9.140625" style="753"/>
    <col min="12801" max="12801" width="7.28515625" style="753" customWidth="1"/>
    <col min="12802" max="12802" width="13.7109375" style="753" customWidth="1"/>
    <col min="12803" max="12803" width="8.28515625" style="753" customWidth="1"/>
    <col min="12804" max="12810" width="4.7109375" style="753" customWidth="1"/>
    <col min="12811" max="12813" width="4.28515625" style="753" customWidth="1"/>
    <col min="12814" max="12814" width="6.140625" style="753" customWidth="1"/>
    <col min="12815" max="12815" width="6" style="753" customWidth="1"/>
    <col min="12816" max="12816" width="12.28515625" style="753" customWidth="1"/>
    <col min="12817" max="12817" width="9.140625" style="753" customWidth="1"/>
    <col min="12818" max="12818" width="3.85546875" style="753" customWidth="1"/>
    <col min="12819" max="12821" width="9.140625" style="753" customWidth="1"/>
    <col min="12822" max="13056" width="9.140625" style="753"/>
    <col min="13057" max="13057" width="7.28515625" style="753" customWidth="1"/>
    <col min="13058" max="13058" width="13.7109375" style="753" customWidth="1"/>
    <col min="13059" max="13059" width="8.28515625" style="753" customWidth="1"/>
    <col min="13060" max="13066" width="4.7109375" style="753" customWidth="1"/>
    <col min="13067" max="13069" width="4.28515625" style="753" customWidth="1"/>
    <col min="13070" max="13070" width="6.140625" style="753" customWidth="1"/>
    <col min="13071" max="13071" width="6" style="753" customWidth="1"/>
    <col min="13072" max="13072" width="12.28515625" style="753" customWidth="1"/>
    <col min="13073" max="13073" width="9.140625" style="753" customWidth="1"/>
    <col min="13074" max="13074" width="3.85546875" style="753" customWidth="1"/>
    <col min="13075" max="13077" width="9.140625" style="753" customWidth="1"/>
    <col min="13078" max="13312" width="9.140625" style="753"/>
    <col min="13313" max="13313" width="7.28515625" style="753" customWidth="1"/>
    <col min="13314" max="13314" width="13.7109375" style="753" customWidth="1"/>
    <col min="13315" max="13315" width="8.28515625" style="753" customWidth="1"/>
    <col min="13316" max="13322" width="4.7109375" style="753" customWidth="1"/>
    <col min="13323" max="13325" width="4.28515625" style="753" customWidth="1"/>
    <col min="13326" max="13326" width="6.140625" style="753" customWidth="1"/>
    <col min="13327" max="13327" width="6" style="753" customWidth="1"/>
    <col min="13328" max="13328" width="12.28515625" style="753" customWidth="1"/>
    <col min="13329" max="13329" width="9.140625" style="753" customWidth="1"/>
    <col min="13330" max="13330" width="3.85546875" style="753" customWidth="1"/>
    <col min="13331" max="13333" width="9.140625" style="753" customWidth="1"/>
    <col min="13334" max="13568" width="9.140625" style="753"/>
    <col min="13569" max="13569" width="7.28515625" style="753" customWidth="1"/>
    <col min="13570" max="13570" width="13.7109375" style="753" customWidth="1"/>
    <col min="13571" max="13571" width="8.28515625" style="753" customWidth="1"/>
    <col min="13572" max="13578" width="4.7109375" style="753" customWidth="1"/>
    <col min="13579" max="13581" width="4.28515625" style="753" customWidth="1"/>
    <col min="13582" max="13582" width="6.140625" style="753" customWidth="1"/>
    <col min="13583" max="13583" width="6" style="753" customWidth="1"/>
    <col min="13584" max="13584" width="12.28515625" style="753" customWidth="1"/>
    <col min="13585" max="13585" width="9.140625" style="753" customWidth="1"/>
    <col min="13586" max="13586" width="3.85546875" style="753" customWidth="1"/>
    <col min="13587" max="13589" width="9.140625" style="753" customWidth="1"/>
    <col min="13590" max="13824" width="9.140625" style="753"/>
    <col min="13825" max="13825" width="7.28515625" style="753" customWidth="1"/>
    <col min="13826" max="13826" width="13.7109375" style="753" customWidth="1"/>
    <col min="13827" max="13827" width="8.28515625" style="753" customWidth="1"/>
    <col min="13828" max="13834" width="4.7109375" style="753" customWidth="1"/>
    <col min="13835" max="13837" width="4.28515625" style="753" customWidth="1"/>
    <col min="13838" max="13838" width="6.140625" style="753" customWidth="1"/>
    <col min="13839" max="13839" width="6" style="753" customWidth="1"/>
    <col min="13840" max="13840" width="12.28515625" style="753" customWidth="1"/>
    <col min="13841" max="13841" width="9.140625" style="753" customWidth="1"/>
    <col min="13842" max="13842" width="3.85546875" style="753" customWidth="1"/>
    <col min="13843" max="13845" width="9.140625" style="753" customWidth="1"/>
    <col min="13846" max="14080" width="9.140625" style="753"/>
    <col min="14081" max="14081" width="7.28515625" style="753" customWidth="1"/>
    <col min="14082" max="14082" width="13.7109375" style="753" customWidth="1"/>
    <col min="14083" max="14083" width="8.28515625" style="753" customWidth="1"/>
    <col min="14084" max="14090" width="4.7109375" style="753" customWidth="1"/>
    <col min="14091" max="14093" width="4.28515625" style="753" customWidth="1"/>
    <col min="14094" max="14094" width="6.140625" style="753" customWidth="1"/>
    <col min="14095" max="14095" width="6" style="753" customWidth="1"/>
    <col min="14096" max="14096" width="12.28515625" style="753" customWidth="1"/>
    <col min="14097" max="14097" width="9.140625" style="753" customWidth="1"/>
    <col min="14098" max="14098" width="3.85546875" style="753" customWidth="1"/>
    <col min="14099" max="14101" width="9.140625" style="753" customWidth="1"/>
    <col min="14102" max="14336" width="9.140625" style="753"/>
    <col min="14337" max="14337" width="7.28515625" style="753" customWidth="1"/>
    <col min="14338" max="14338" width="13.7109375" style="753" customWidth="1"/>
    <col min="14339" max="14339" width="8.28515625" style="753" customWidth="1"/>
    <col min="14340" max="14346" width="4.7109375" style="753" customWidth="1"/>
    <col min="14347" max="14349" width="4.28515625" style="753" customWidth="1"/>
    <col min="14350" max="14350" width="6.140625" style="753" customWidth="1"/>
    <col min="14351" max="14351" width="6" style="753" customWidth="1"/>
    <col min="14352" max="14352" width="12.28515625" style="753" customWidth="1"/>
    <col min="14353" max="14353" width="9.140625" style="753" customWidth="1"/>
    <col min="14354" max="14354" width="3.85546875" style="753" customWidth="1"/>
    <col min="14355" max="14357" width="9.140625" style="753" customWidth="1"/>
    <col min="14358" max="14592" width="9.140625" style="753"/>
    <col min="14593" max="14593" width="7.28515625" style="753" customWidth="1"/>
    <col min="14594" max="14594" width="13.7109375" style="753" customWidth="1"/>
    <col min="14595" max="14595" width="8.28515625" style="753" customWidth="1"/>
    <col min="14596" max="14602" width="4.7109375" style="753" customWidth="1"/>
    <col min="14603" max="14605" width="4.28515625" style="753" customWidth="1"/>
    <col min="14606" max="14606" width="6.140625" style="753" customWidth="1"/>
    <col min="14607" max="14607" width="6" style="753" customWidth="1"/>
    <col min="14608" max="14608" width="12.28515625" style="753" customWidth="1"/>
    <col min="14609" max="14609" width="9.140625" style="753" customWidth="1"/>
    <col min="14610" max="14610" width="3.85546875" style="753" customWidth="1"/>
    <col min="14611" max="14613" width="9.140625" style="753" customWidth="1"/>
    <col min="14614" max="14848" width="9.140625" style="753"/>
    <col min="14849" max="14849" width="7.28515625" style="753" customWidth="1"/>
    <col min="14850" max="14850" width="13.7109375" style="753" customWidth="1"/>
    <col min="14851" max="14851" width="8.28515625" style="753" customWidth="1"/>
    <col min="14852" max="14858" width="4.7109375" style="753" customWidth="1"/>
    <col min="14859" max="14861" width="4.28515625" style="753" customWidth="1"/>
    <col min="14862" max="14862" width="6.140625" style="753" customWidth="1"/>
    <col min="14863" max="14863" width="6" style="753" customWidth="1"/>
    <col min="14864" max="14864" width="12.28515625" style="753" customWidth="1"/>
    <col min="14865" max="14865" width="9.140625" style="753" customWidth="1"/>
    <col min="14866" max="14866" width="3.85546875" style="753" customWidth="1"/>
    <col min="14867" max="14869" width="9.140625" style="753" customWidth="1"/>
    <col min="14870" max="15104" width="9.140625" style="753"/>
    <col min="15105" max="15105" width="7.28515625" style="753" customWidth="1"/>
    <col min="15106" max="15106" width="13.7109375" style="753" customWidth="1"/>
    <col min="15107" max="15107" width="8.28515625" style="753" customWidth="1"/>
    <col min="15108" max="15114" width="4.7109375" style="753" customWidth="1"/>
    <col min="15115" max="15117" width="4.28515625" style="753" customWidth="1"/>
    <col min="15118" max="15118" width="6.140625" style="753" customWidth="1"/>
    <col min="15119" max="15119" width="6" style="753" customWidth="1"/>
    <col min="15120" max="15120" width="12.28515625" style="753" customWidth="1"/>
    <col min="15121" max="15121" width="9.140625" style="753" customWidth="1"/>
    <col min="15122" max="15122" width="3.85546875" style="753" customWidth="1"/>
    <col min="15123" max="15125" width="9.140625" style="753" customWidth="1"/>
    <col min="15126" max="15360" width="9.140625" style="753"/>
    <col min="15361" max="15361" width="7.28515625" style="753" customWidth="1"/>
    <col min="15362" max="15362" width="13.7109375" style="753" customWidth="1"/>
    <col min="15363" max="15363" width="8.28515625" style="753" customWidth="1"/>
    <col min="15364" max="15370" width="4.7109375" style="753" customWidth="1"/>
    <col min="15371" max="15373" width="4.28515625" style="753" customWidth="1"/>
    <col min="15374" max="15374" width="6.140625" style="753" customWidth="1"/>
    <col min="15375" max="15375" width="6" style="753" customWidth="1"/>
    <col min="15376" max="15376" width="12.28515625" style="753" customWidth="1"/>
    <col min="15377" max="15377" width="9.140625" style="753" customWidth="1"/>
    <col min="15378" max="15378" width="3.85546875" style="753" customWidth="1"/>
    <col min="15379" max="15381" width="9.140625" style="753" customWidth="1"/>
    <col min="15382" max="15616" width="9.140625" style="753"/>
    <col min="15617" max="15617" width="7.28515625" style="753" customWidth="1"/>
    <col min="15618" max="15618" width="13.7109375" style="753" customWidth="1"/>
    <col min="15619" max="15619" width="8.28515625" style="753" customWidth="1"/>
    <col min="15620" max="15626" width="4.7109375" style="753" customWidth="1"/>
    <col min="15627" max="15629" width="4.28515625" style="753" customWidth="1"/>
    <col min="15630" max="15630" width="6.140625" style="753" customWidth="1"/>
    <col min="15631" max="15631" width="6" style="753" customWidth="1"/>
    <col min="15632" max="15632" width="12.28515625" style="753" customWidth="1"/>
    <col min="15633" max="15633" width="9.140625" style="753" customWidth="1"/>
    <col min="15634" max="15634" width="3.85546875" style="753" customWidth="1"/>
    <col min="15635" max="15637" width="9.140625" style="753" customWidth="1"/>
    <col min="15638" max="15872" width="9.140625" style="753"/>
    <col min="15873" max="15873" width="7.28515625" style="753" customWidth="1"/>
    <col min="15874" max="15874" width="13.7109375" style="753" customWidth="1"/>
    <col min="15875" max="15875" width="8.28515625" style="753" customWidth="1"/>
    <col min="15876" max="15882" width="4.7109375" style="753" customWidth="1"/>
    <col min="15883" max="15885" width="4.28515625" style="753" customWidth="1"/>
    <col min="15886" max="15886" width="6.140625" style="753" customWidth="1"/>
    <col min="15887" max="15887" width="6" style="753" customWidth="1"/>
    <col min="15888" max="15888" width="12.28515625" style="753" customWidth="1"/>
    <col min="15889" max="15889" width="9.140625" style="753" customWidth="1"/>
    <col min="15890" max="15890" width="3.85546875" style="753" customWidth="1"/>
    <col min="15891" max="15893" width="9.140625" style="753" customWidth="1"/>
    <col min="15894" max="16128" width="9.140625" style="753"/>
    <col min="16129" max="16129" width="7.28515625" style="753" customWidth="1"/>
    <col min="16130" max="16130" width="13.7109375" style="753" customWidth="1"/>
    <col min="16131" max="16131" width="8.28515625" style="753" customWidth="1"/>
    <col min="16132" max="16138" width="4.7109375" style="753" customWidth="1"/>
    <col min="16139" max="16141" width="4.28515625" style="753" customWidth="1"/>
    <col min="16142" max="16142" width="6.140625" style="753" customWidth="1"/>
    <col min="16143" max="16143" width="6" style="753" customWidth="1"/>
    <col min="16144" max="16144" width="12.28515625" style="753" customWidth="1"/>
    <col min="16145" max="16145" width="9.140625" style="753" customWidth="1"/>
    <col min="16146" max="16146" width="3.85546875" style="753" customWidth="1"/>
    <col min="16147" max="16149" width="9.140625" style="753" customWidth="1"/>
    <col min="16150" max="16384" width="9.140625" style="753"/>
  </cols>
  <sheetData>
    <row r="1" spans="1:25" ht="20.25" x14ac:dyDescent="0.3">
      <c r="A1" s="752" t="s">
        <v>1</v>
      </c>
      <c r="C1" s="754" t="s">
        <v>645</v>
      </c>
      <c r="O1" s="754" t="str">
        <f ca="1">MID(CELL("filename",A1),FIND("]",CELL("filename",A1))+1,255)</f>
        <v>Ob1</v>
      </c>
    </row>
    <row r="2" spans="1:25" ht="13.5" thickBot="1" x14ac:dyDescent="0.25">
      <c r="Q2" s="753" t="s">
        <v>446</v>
      </c>
    </row>
    <row r="3" spans="1:25" ht="18.75" thickBot="1" x14ac:dyDescent="0.3">
      <c r="B3" s="755" t="s">
        <v>646</v>
      </c>
      <c r="C3" s="1010" t="str">
        <f>Fältkort!H89</f>
        <v>Vårkorn</v>
      </c>
      <c r="D3" s="1011"/>
      <c r="E3" s="1012"/>
      <c r="L3" s="756" t="s">
        <v>647</v>
      </c>
      <c r="Q3" s="753" t="s">
        <v>249</v>
      </c>
    </row>
    <row r="4" spans="1:25" x14ac:dyDescent="0.2">
      <c r="Q4" s="753" t="s">
        <v>246</v>
      </c>
    </row>
    <row r="5" spans="1:25" x14ac:dyDescent="0.2">
      <c r="A5" s="1013" t="s">
        <v>648</v>
      </c>
      <c r="B5" s="1013"/>
      <c r="C5" s="1014" t="s">
        <v>155</v>
      </c>
      <c r="D5" s="1015"/>
      <c r="E5" s="1016"/>
      <c r="F5" s="1017" t="s">
        <v>649</v>
      </c>
      <c r="G5" s="1018"/>
      <c r="H5" s="1019"/>
      <c r="I5" s="1020" t="s">
        <v>46</v>
      </c>
      <c r="J5" s="1020"/>
      <c r="K5" s="1020"/>
      <c r="L5" s="1017"/>
      <c r="M5" s="1020" t="s">
        <v>650</v>
      </c>
      <c r="N5" s="1020"/>
      <c r="Q5" s="753" t="s">
        <v>248</v>
      </c>
    </row>
    <row r="6" spans="1:25" ht="25.5" customHeight="1" x14ac:dyDescent="0.25">
      <c r="A6" s="1021" t="str">
        <f>Fältkort!H91</f>
        <v>HUG066</v>
      </c>
      <c r="B6" s="1021"/>
      <c r="C6" s="1022" t="str">
        <f>Fältkort!H94</f>
        <v>M-658-2014</v>
      </c>
      <c r="D6" s="1023"/>
      <c r="E6" s="1024"/>
      <c r="F6" s="1025"/>
      <c r="G6" s="1026"/>
      <c r="H6" s="1027"/>
      <c r="I6" s="1025"/>
      <c r="J6" s="1026"/>
      <c r="K6" s="1026"/>
      <c r="L6" s="1026"/>
      <c r="M6" s="1028"/>
      <c r="N6" s="1028"/>
      <c r="Q6" s="753" t="s">
        <v>250</v>
      </c>
    </row>
    <row r="7" spans="1:25" ht="25.5" customHeight="1" x14ac:dyDescent="0.2">
      <c r="D7" s="1009" t="s">
        <v>1381</v>
      </c>
      <c r="E7" s="1009"/>
      <c r="F7" s="1009"/>
      <c r="G7" s="1009"/>
      <c r="H7" s="1009"/>
      <c r="I7" s="1009"/>
      <c r="J7" s="1009"/>
      <c r="K7" s="1009"/>
      <c r="L7" s="1009"/>
      <c r="M7" s="1009"/>
      <c r="N7" s="1009"/>
      <c r="Q7" s="753" t="s">
        <v>247</v>
      </c>
    </row>
    <row r="8" spans="1:25" x14ac:dyDescent="0.2">
      <c r="B8" s="757" t="s">
        <v>651</v>
      </c>
      <c r="C8" s="758" t="s">
        <v>652</v>
      </c>
      <c r="D8" s="1029" t="s">
        <v>653</v>
      </c>
      <c r="E8" s="1030"/>
      <c r="F8" s="1030"/>
      <c r="G8" s="1030"/>
      <c r="H8" s="1030"/>
      <c r="I8" s="1030"/>
      <c r="J8" s="1030"/>
      <c r="K8" s="1030"/>
      <c r="L8" s="1030"/>
      <c r="M8" s="1030"/>
      <c r="O8" s="753" t="s">
        <v>654</v>
      </c>
      <c r="Q8" s="753" t="s">
        <v>251</v>
      </c>
    </row>
    <row r="9" spans="1:25" ht="13.5" thickBot="1" x14ac:dyDescent="0.25">
      <c r="A9" s="759"/>
      <c r="B9" s="759"/>
      <c r="C9" s="760" t="s">
        <v>655</v>
      </c>
      <c r="D9" s="761">
        <v>1</v>
      </c>
      <c r="E9" s="761">
        <v>2</v>
      </c>
      <c r="F9" s="761">
        <v>3</v>
      </c>
      <c r="G9" s="761">
        <v>4</v>
      </c>
      <c r="H9" s="761">
        <v>5</v>
      </c>
      <c r="I9" s="761">
        <v>6</v>
      </c>
      <c r="J9" s="761">
        <v>7</v>
      </c>
      <c r="K9" s="761">
        <v>8</v>
      </c>
      <c r="L9" s="761">
        <v>9</v>
      </c>
      <c r="M9" s="761">
        <v>10</v>
      </c>
      <c r="N9" s="762" t="s">
        <v>656</v>
      </c>
      <c r="O9" s="761" t="s">
        <v>657</v>
      </c>
    </row>
    <row r="10" spans="1:25" x14ac:dyDescent="0.2">
      <c r="A10" s="763" t="s">
        <v>658</v>
      </c>
      <c r="B10" s="764" t="str">
        <f>IF(OR($C$3="Höstvete",$C$3="Vårvete",$C$3="Rågvete"),T10,IF($C$3="Råg",T15,IF(OR($C$3="Vårkorn",$C$3="Höstkorn"),T20,T25)))</f>
        <v>Mjöldagg</v>
      </c>
      <c r="C10" s="765">
        <v>1</v>
      </c>
      <c r="D10" s="766"/>
      <c r="E10" s="766"/>
      <c r="F10" s="766"/>
      <c r="G10" s="766"/>
      <c r="H10" s="766"/>
      <c r="I10" s="766"/>
      <c r="J10" s="766"/>
      <c r="K10" s="766"/>
      <c r="L10" s="766"/>
      <c r="M10" s="766"/>
      <c r="N10" s="767">
        <f>SUM(D10:M10)/(10-O$23)</f>
        <v>0</v>
      </c>
      <c r="O10" s="768"/>
      <c r="Q10" s="753" t="s">
        <v>659</v>
      </c>
      <c r="R10" s="753">
        <v>1</v>
      </c>
      <c r="S10" s="769" t="s">
        <v>660</v>
      </c>
      <c r="T10" s="764" t="s">
        <v>661</v>
      </c>
      <c r="Y10" s="799"/>
    </row>
    <row r="11" spans="1:25" x14ac:dyDescent="0.2">
      <c r="A11" s="770" t="s">
        <v>662</v>
      </c>
      <c r="B11" s="769" t="str">
        <f>IF(OR($C$3="Höstvete",$C$3="Vårvete",$C$3="Rågvete"),S10,IF($C$3="Råg",S15,IF(OR($C$3="Vårkorn",$C$3="Höstkorn"),S20,S25)))</f>
        <v>ERYSGR</v>
      </c>
      <c r="C11" s="771">
        <v>2</v>
      </c>
      <c r="D11" s="772"/>
      <c r="E11" s="772"/>
      <c r="F11" s="772"/>
      <c r="G11" s="772"/>
      <c r="H11" s="772"/>
      <c r="I11" s="772"/>
      <c r="J11" s="772"/>
      <c r="K11" s="772"/>
      <c r="L11" s="772"/>
      <c r="M11" s="772"/>
      <c r="N11" s="773">
        <f>SUM(D11:M11)/(10-O$24)</f>
        <v>0</v>
      </c>
      <c r="O11" s="768"/>
      <c r="Q11" s="753" t="s">
        <v>659</v>
      </c>
      <c r="R11" s="753">
        <v>2</v>
      </c>
      <c r="S11" s="769" t="s">
        <v>663</v>
      </c>
      <c r="T11" s="764" t="s">
        <v>664</v>
      </c>
    </row>
    <row r="12" spans="1:25" x14ac:dyDescent="0.2">
      <c r="A12" s="1031">
        <f>Led!Q95</f>
        <v>4</v>
      </c>
      <c r="B12" s="769"/>
      <c r="C12" s="771">
        <v>3</v>
      </c>
      <c r="D12" s="772"/>
      <c r="E12" s="772"/>
      <c r="F12" s="772"/>
      <c r="G12" s="772"/>
      <c r="H12" s="772"/>
      <c r="I12" s="772"/>
      <c r="J12" s="772"/>
      <c r="K12" s="772"/>
      <c r="L12" s="772"/>
      <c r="M12" s="772"/>
      <c r="N12" s="773">
        <f>SUM(D12:M12)/(10-O$25)</f>
        <v>0</v>
      </c>
      <c r="O12" s="768"/>
      <c r="Q12" s="753" t="s">
        <v>659</v>
      </c>
      <c r="R12" s="753">
        <v>3</v>
      </c>
      <c r="S12" s="769" t="s">
        <v>665</v>
      </c>
      <c r="T12" s="764" t="s">
        <v>666</v>
      </c>
    </row>
    <row r="13" spans="1:25" ht="13.5" thickBot="1" x14ac:dyDescent="0.25">
      <c r="A13" s="1032"/>
      <c r="B13" s="774"/>
      <c r="C13" s="775">
        <v>4</v>
      </c>
      <c r="D13" s="776"/>
      <c r="E13" s="776"/>
      <c r="F13" s="776"/>
      <c r="G13" s="776"/>
      <c r="H13" s="776"/>
      <c r="I13" s="776"/>
      <c r="J13" s="776"/>
      <c r="K13" s="776"/>
      <c r="L13" s="776"/>
      <c r="M13" s="776"/>
      <c r="N13" s="777">
        <f>SUM(D13:M13)/(10-O$26)</f>
        <v>0</v>
      </c>
      <c r="O13" s="768"/>
      <c r="Q13" s="753" t="s">
        <v>659</v>
      </c>
      <c r="R13" s="753">
        <v>4</v>
      </c>
      <c r="S13" s="753" t="s">
        <v>667</v>
      </c>
      <c r="T13" s="764" t="s">
        <v>668</v>
      </c>
    </row>
    <row r="14" spans="1:25" x14ac:dyDescent="0.2">
      <c r="B14" s="764" t="str">
        <f>IF(OR($C$3="Höstvete",$C$3="Vårvete",$C$3="Rågvete"),T11,IF($C$3="Råg",T16,IF(OR($C$3="Vårkorn",$C$3="Höstkorn"),T21,T26)))</f>
        <v>Kornrost</v>
      </c>
      <c r="C14" s="765">
        <v>1</v>
      </c>
      <c r="D14" s="766"/>
      <c r="E14" s="766"/>
      <c r="F14" s="766"/>
      <c r="G14" s="766"/>
      <c r="H14" s="766"/>
      <c r="I14" s="766"/>
      <c r="J14" s="766"/>
      <c r="K14" s="766"/>
      <c r="L14" s="766"/>
      <c r="M14" s="766"/>
      <c r="N14" s="767">
        <f>SUM(D14:M14)/(10-O$23)</f>
        <v>0</v>
      </c>
      <c r="O14" s="768"/>
      <c r="Q14" s="753" t="s">
        <v>659</v>
      </c>
      <c r="R14" s="753">
        <v>5</v>
      </c>
      <c r="S14" s="769" t="s">
        <v>669</v>
      </c>
      <c r="T14" s="764" t="s">
        <v>670</v>
      </c>
    </row>
    <row r="15" spans="1:25" x14ac:dyDescent="0.2">
      <c r="B15" s="769" t="str">
        <f>IF(OR($C$3="Höstvete",$C$3="Vårvete",$C$3="Rågvete"),S11,IF($C$3="Råg",S16,IF(OR($C$3="Vårkorn",$C$3="Höstkorn"),S21,S26)))</f>
        <v>PUCCHD</v>
      </c>
      <c r="C15" s="771">
        <v>2</v>
      </c>
      <c r="D15" s="772"/>
      <c r="E15" s="772"/>
      <c r="F15" s="772"/>
      <c r="G15" s="772"/>
      <c r="H15" s="772"/>
      <c r="I15" s="772"/>
      <c r="J15" s="772"/>
      <c r="K15" s="772"/>
      <c r="L15" s="772"/>
      <c r="M15" s="772"/>
      <c r="N15" s="773">
        <f>SUM(D15:M15)/(10-O$24)</f>
        <v>0</v>
      </c>
      <c r="O15" s="768"/>
      <c r="Q15" s="753" t="s">
        <v>246</v>
      </c>
      <c r="R15" s="753">
        <v>1</v>
      </c>
      <c r="S15" s="753" t="s">
        <v>660</v>
      </c>
      <c r="T15" s="757" t="s">
        <v>661</v>
      </c>
    </row>
    <row r="16" spans="1:25" x14ac:dyDescent="0.2">
      <c r="B16" s="769"/>
      <c r="C16" s="771">
        <v>3</v>
      </c>
      <c r="D16" s="772"/>
      <c r="E16" s="772"/>
      <c r="F16" s="772"/>
      <c r="G16" s="772"/>
      <c r="H16" s="772"/>
      <c r="I16" s="772"/>
      <c r="J16" s="772"/>
      <c r="K16" s="772"/>
      <c r="L16" s="772"/>
      <c r="M16" s="772"/>
      <c r="N16" s="773">
        <f>SUM(D16:M16)/(10-O$25)</f>
        <v>0</v>
      </c>
      <c r="O16" s="768"/>
      <c r="Q16" s="753" t="s">
        <v>246</v>
      </c>
      <c r="R16" s="753">
        <v>2</v>
      </c>
      <c r="S16" s="753" t="s">
        <v>663</v>
      </c>
      <c r="T16" s="757" t="s">
        <v>664</v>
      </c>
    </row>
    <row r="17" spans="1:20" ht="13.5" thickBot="1" x14ac:dyDescent="0.25">
      <c r="B17" s="778"/>
      <c r="C17" s="775">
        <v>4</v>
      </c>
      <c r="D17" s="776"/>
      <c r="E17" s="776"/>
      <c r="F17" s="776"/>
      <c r="G17" s="776"/>
      <c r="H17" s="776"/>
      <c r="I17" s="776"/>
      <c r="J17" s="776"/>
      <c r="K17" s="776"/>
      <c r="L17" s="776"/>
      <c r="M17" s="776"/>
      <c r="N17" s="777">
        <f>SUM(D17:M17)/(10-O$26)</f>
        <v>0</v>
      </c>
      <c r="O17" s="768"/>
      <c r="Q17" s="753" t="s">
        <v>246</v>
      </c>
      <c r="R17" s="753">
        <v>3</v>
      </c>
      <c r="S17" s="769" t="s">
        <v>671</v>
      </c>
      <c r="T17" s="764" t="s">
        <v>672</v>
      </c>
    </row>
    <row r="18" spans="1:20" x14ac:dyDescent="0.2">
      <c r="B18" s="764" t="str">
        <f>IF(OR($C$3="Höstvete",$C$3="Vårvete",$C$3="Rågvete"),T12,IF($C$3="Råg",T17,IF(OR($C$3="Vårkorn",$C$3="Höstkorn"),T22,T27)))</f>
        <v>Sköldfläcksjuka</v>
      </c>
      <c r="C18" s="771">
        <v>1</v>
      </c>
      <c r="D18" s="766"/>
      <c r="E18" s="772"/>
      <c r="F18" s="772"/>
      <c r="G18" s="772"/>
      <c r="H18" s="772"/>
      <c r="I18" s="772"/>
      <c r="J18" s="772"/>
      <c r="K18" s="772"/>
      <c r="L18" s="772"/>
      <c r="M18" s="772"/>
      <c r="N18" s="767">
        <f>SUM(D18:M18)/(10-O$23)</f>
        <v>0</v>
      </c>
      <c r="O18" s="768"/>
      <c r="Q18" s="753" t="s">
        <v>246</v>
      </c>
      <c r="R18" s="753">
        <v>4</v>
      </c>
      <c r="S18" s="769" t="s">
        <v>667</v>
      </c>
      <c r="T18" s="764" t="s">
        <v>668</v>
      </c>
    </row>
    <row r="19" spans="1:20" x14ac:dyDescent="0.2">
      <c r="B19" s="769" t="str">
        <f>IF(OR($C$3="Höstvete",$C$3="Vårvete",$C$3="Rågvete"),S12,IF($C$3="Råg",S17,IF(OR($C$3="Vårkorn",$C$3="Höstkorn"),S22,S27)))</f>
        <v>RHYNSE</v>
      </c>
      <c r="C19" s="771">
        <v>2</v>
      </c>
      <c r="D19" s="772"/>
      <c r="E19" s="772"/>
      <c r="F19" s="772"/>
      <c r="G19" s="772"/>
      <c r="H19" s="772"/>
      <c r="I19" s="772"/>
      <c r="J19" s="772"/>
      <c r="K19" s="772"/>
      <c r="L19" s="772"/>
      <c r="M19" s="772"/>
      <c r="N19" s="773">
        <f>SUM(D19:M19)/(10-O$24)</f>
        <v>0</v>
      </c>
      <c r="O19" s="768"/>
      <c r="S19" s="753" t="s">
        <v>673</v>
      </c>
      <c r="T19" s="753" t="s">
        <v>673</v>
      </c>
    </row>
    <row r="20" spans="1:20" x14ac:dyDescent="0.2">
      <c r="B20" s="769"/>
      <c r="C20" s="771">
        <v>3</v>
      </c>
      <c r="D20" s="772"/>
      <c r="E20" s="772"/>
      <c r="F20" s="772"/>
      <c r="G20" s="772"/>
      <c r="H20" s="772"/>
      <c r="I20" s="772"/>
      <c r="J20" s="772"/>
      <c r="K20" s="772"/>
      <c r="L20" s="772"/>
      <c r="M20" s="772"/>
      <c r="N20" s="773">
        <f>SUM(D20:M20)/(10-O$25)</f>
        <v>0</v>
      </c>
      <c r="O20" s="768"/>
      <c r="Q20" s="753" t="s">
        <v>674</v>
      </c>
      <c r="R20" s="753">
        <v>1</v>
      </c>
      <c r="S20" s="769" t="s">
        <v>660</v>
      </c>
      <c r="T20" s="764" t="s">
        <v>661</v>
      </c>
    </row>
    <row r="21" spans="1:20" ht="13.5" thickBot="1" x14ac:dyDescent="0.25">
      <c r="B21" s="778"/>
      <c r="C21" s="775">
        <v>4</v>
      </c>
      <c r="D21" s="776"/>
      <c r="E21" s="776"/>
      <c r="F21" s="776"/>
      <c r="G21" s="776"/>
      <c r="H21" s="776"/>
      <c r="I21" s="776"/>
      <c r="J21" s="776"/>
      <c r="K21" s="776"/>
      <c r="L21" s="776"/>
      <c r="M21" s="776"/>
      <c r="N21" s="777">
        <f>SUM(D21:M21)/(10-O$26)</f>
        <v>0</v>
      </c>
      <c r="O21" s="768"/>
      <c r="Q21" s="753" t="s">
        <v>674</v>
      </c>
      <c r="R21" s="753">
        <v>2</v>
      </c>
      <c r="S21" s="769" t="s">
        <v>675</v>
      </c>
      <c r="T21" s="764" t="s">
        <v>676</v>
      </c>
    </row>
    <row r="22" spans="1:20" x14ac:dyDescent="0.2">
      <c r="B22" s="764" t="str">
        <f>IF(OR($C$3="Höstvete",$C$3="Vårvete",$C$3="Rågvete"),T13,IF($C$3="Råg",T18,IF(OR($C$3="Vårkorn",$C$3="Höstkorn"),T23,T28)))</f>
        <v>Bladfläcksjuka</v>
      </c>
      <c r="C22" s="771">
        <v>1</v>
      </c>
      <c r="D22" s="766"/>
      <c r="E22" s="772"/>
      <c r="F22" s="772"/>
      <c r="G22" s="772"/>
      <c r="H22" s="772"/>
      <c r="I22" s="772"/>
      <c r="J22" s="772"/>
      <c r="K22" s="772"/>
      <c r="L22" s="772"/>
      <c r="M22" s="772"/>
      <c r="N22" s="767">
        <f>SUM(D22:M22)/(10-O$23)</f>
        <v>0</v>
      </c>
      <c r="O22" s="779">
        <f>COUNTIF(D22:M22,"=V")</f>
        <v>0</v>
      </c>
      <c r="Q22" s="753" t="s">
        <v>674</v>
      </c>
      <c r="R22" s="753">
        <v>3</v>
      </c>
      <c r="S22" s="769" t="s">
        <v>671</v>
      </c>
      <c r="T22" s="764" t="s">
        <v>672</v>
      </c>
    </row>
    <row r="23" spans="1:20" x14ac:dyDescent="0.2">
      <c r="B23" s="769" t="str">
        <f>IF(OR($C$3="Höstvete",$C$3="Vårvete",$C$3="Rågvete"),S13,IF($C$3="Råg",S18,IF(OR($C$3="Vårkorn",$C$3="Höstkorn"),S23,S28)))</f>
        <v>PYRNTE</v>
      </c>
      <c r="C23" s="771">
        <v>2</v>
      </c>
      <c r="D23" s="772"/>
      <c r="E23" s="772"/>
      <c r="F23" s="772"/>
      <c r="G23" s="772"/>
      <c r="H23" s="772"/>
      <c r="I23" s="772"/>
      <c r="J23" s="772"/>
      <c r="K23" s="772"/>
      <c r="L23" s="772"/>
      <c r="M23" s="772"/>
      <c r="N23" s="773">
        <f>SUM(D23:M23)/(10-O$24)</f>
        <v>0</v>
      </c>
      <c r="O23" s="780">
        <f t="shared" ref="O23:O25" si="0">COUNTIF(D23:M23,"=V")</f>
        <v>0</v>
      </c>
      <c r="Q23" s="753" t="s">
        <v>674</v>
      </c>
      <c r="R23" s="753">
        <v>4</v>
      </c>
      <c r="S23" s="769" t="s">
        <v>677</v>
      </c>
      <c r="T23" s="764" t="s">
        <v>678</v>
      </c>
    </row>
    <row r="24" spans="1:20" x14ac:dyDescent="0.2">
      <c r="B24" s="769"/>
      <c r="C24" s="771">
        <v>3</v>
      </c>
      <c r="D24" s="772"/>
      <c r="E24" s="772"/>
      <c r="F24" s="772"/>
      <c r="G24" s="772"/>
      <c r="H24" s="772"/>
      <c r="I24" s="772"/>
      <c r="J24" s="772"/>
      <c r="K24" s="772"/>
      <c r="L24" s="772"/>
      <c r="M24" s="772"/>
      <c r="N24" s="773">
        <f>SUM(D24:M24)/(10-O$25)</f>
        <v>0</v>
      </c>
      <c r="O24" s="780">
        <f t="shared" si="0"/>
        <v>0</v>
      </c>
      <c r="S24" s="753" t="s">
        <v>673</v>
      </c>
      <c r="T24" s="753" t="s">
        <v>673</v>
      </c>
    </row>
    <row r="25" spans="1:20" ht="13.5" thickBot="1" x14ac:dyDescent="0.25">
      <c r="B25" s="778"/>
      <c r="C25" s="775">
        <v>4</v>
      </c>
      <c r="D25" s="776"/>
      <c r="E25" s="776"/>
      <c r="F25" s="776"/>
      <c r="G25" s="776"/>
      <c r="H25" s="776"/>
      <c r="I25" s="776"/>
      <c r="J25" s="776"/>
      <c r="K25" s="776"/>
      <c r="L25" s="776"/>
      <c r="M25" s="776"/>
      <c r="N25" s="777">
        <f>SUM(D25:M25)/(10-O$26)</f>
        <v>0</v>
      </c>
      <c r="O25" s="781">
        <f t="shared" si="0"/>
        <v>0</v>
      </c>
      <c r="Q25" s="753" t="s">
        <v>251</v>
      </c>
      <c r="R25" s="753">
        <v>1</v>
      </c>
      <c r="S25" s="769" t="s">
        <v>660</v>
      </c>
      <c r="T25" s="764" t="s">
        <v>661</v>
      </c>
    </row>
    <row r="26" spans="1:20" x14ac:dyDescent="0.2">
      <c r="B26" s="764" t="str">
        <f>IF(OR($C$3="Höstvete",$C$3="Vårvete",$C$3="Rågvete"),T14,IF($C$3="Råg",T19,IF(OR($C$3="Vårkorn",$C$3="Höstkorn"),T24,T29)))</f>
        <v xml:space="preserve">  </v>
      </c>
      <c r="C26" s="771">
        <v>1</v>
      </c>
      <c r="D26" s="772"/>
      <c r="E26" s="772"/>
      <c r="F26" s="772"/>
      <c r="G26" s="772"/>
      <c r="H26" s="772"/>
      <c r="I26" s="772"/>
      <c r="J26" s="772"/>
      <c r="K26" s="772"/>
      <c r="L26" s="772"/>
      <c r="M26" s="772"/>
      <c r="N26" s="767">
        <f>SUM(D26:M26)/(10-O$23)</f>
        <v>0</v>
      </c>
      <c r="O26" s="768"/>
      <c r="Q26" s="753" t="s">
        <v>251</v>
      </c>
      <c r="R26" s="753">
        <v>2</v>
      </c>
      <c r="S26" s="769" t="s">
        <v>679</v>
      </c>
      <c r="T26" s="764" t="s">
        <v>680</v>
      </c>
    </row>
    <row r="27" spans="1:20" x14ac:dyDescent="0.2">
      <c r="B27" s="769" t="str">
        <f>IF(OR($C$3="Höstvete",$C$3="Vårvete",$C$3="Rågvete"),S14,IF($C$3="Råg",S19,IF(OR($C$3="Vårkorn",$C$3="Höstkorn"),S24,S29)))</f>
        <v xml:space="preserve">  </v>
      </c>
      <c r="C27" s="771">
        <v>2</v>
      </c>
      <c r="D27" s="772"/>
      <c r="E27" s="772"/>
      <c r="F27" s="772"/>
      <c r="G27" s="772"/>
      <c r="H27" s="772"/>
      <c r="I27" s="772"/>
      <c r="J27" s="772"/>
      <c r="K27" s="772"/>
      <c r="L27" s="772"/>
      <c r="M27" s="772"/>
      <c r="N27" s="773">
        <f>SUM(D27:M27)/(10-O$24)</f>
        <v>0</v>
      </c>
      <c r="O27" s="768"/>
      <c r="Q27" s="753" t="s">
        <v>251</v>
      </c>
      <c r="R27" s="753">
        <v>3</v>
      </c>
      <c r="S27" s="769" t="s">
        <v>681</v>
      </c>
      <c r="T27" s="764" t="s">
        <v>678</v>
      </c>
    </row>
    <row r="28" spans="1:20" x14ac:dyDescent="0.2">
      <c r="B28" s="769"/>
      <c r="C28" s="771">
        <v>3</v>
      </c>
      <c r="D28" s="772"/>
      <c r="E28" s="772"/>
      <c r="F28" s="772"/>
      <c r="G28" s="772"/>
      <c r="H28" s="772"/>
      <c r="I28" s="772"/>
      <c r="J28" s="772"/>
      <c r="K28" s="772"/>
      <c r="L28" s="772"/>
      <c r="M28" s="772"/>
      <c r="N28" s="773">
        <f>SUM(D28:M28)/(10-O$25)</f>
        <v>0</v>
      </c>
      <c r="O28" s="768"/>
      <c r="Q28" s="753" t="s">
        <v>251</v>
      </c>
      <c r="R28" s="753">
        <v>4</v>
      </c>
      <c r="S28" s="769" t="s">
        <v>682</v>
      </c>
      <c r="T28" s="764" t="s">
        <v>683</v>
      </c>
    </row>
    <row r="29" spans="1:20" ht="13.5" thickBot="1" x14ac:dyDescent="0.25">
      <c r="A29" s="782"/>
      <c r="B29" s="783"/>
      <c r="C29" s="784">
        <v>4</v>
      </c>
      <c r="D29" s="785"/>
      <c r="E29" s="785"/>
      <c r="F29" s="785"/>
      <c r="G29" s="785"/>
      <c r="H29" s="785"/>
      <c r="I29" s="785"/>
      <c r="J29" s="785"/>
      <c r="K29" s="785"/>
      <c r="L29" s="785"/>
      <c r="M29" s="785"/>
      <c r="N29" s="777">
        <f>SUM(D29:M29)/(10-O$26)</f>
        <v>0</v>
      </c>
      <c r="O29" s="786"/>
      <c r="S29" s="753" t="s">
        <v>673</v>
      </c>
      <c r="T29" s="753" t="s">
        <v>673</v>
      </c>
    </row>
    <row r="30" spans="1:20" ht="13.5" thickTop="1" x14ac:dyDescent="0.2">
      <c r="A30" s="763" t="s">
        <v>684</v>
      </c>
      <c r="B30" s="764" t="str">
        <f>B10</f>
        <v>Mjöldagg</v>
      </c>
      <c r="C30" s="765">
        <v>1</v>
      </c>
      <c r="D30" s="766"/>
      <c r="E30" s="766"/>
      <c r="F30" s="766"/>
      <c r="G30" s="766"/>
      <c r="H30" s="766"/>
      <c r="I30" s="766"/>
      <c r="J30" s="766"/>
      <c r="K30" s="766"/>
      <c r="L30" s="766"/>
      <c r="M30" s="766"/>
      <c r="N30" s="767">
        <f>SUM(D30:M30)/(10-O$43)</f>
        <v>0</v>
      </c>
      <c r="O30" s="768"/>
    </row>
    <row r="31" spans="1:20" x14ac:dyDescent="0.2">
      <c r="A31" s="770" t="s">
        <v>662</v>
      </c>
      <c r="B31" s="769" t="str">
        <f>B11</f>
        <v>ERYSGR</v>
      </c>
      <c r="C31" s="771">
        <v>2</v>
      </c>
      <c r="D31" s="772"/>
      <c r="E31" s="772"/>
      <c r="F31" s="772"/>
      <c r="G31" s="772"/>
      <c r="H31" s="772"/>
      <c r="I31" s="772"/>
      <c r="J31" s="772"/>
      <c r="K31" s="772"/>
      <c r="L31" s="772"/>
      <c r="M31" s="772"/>
      <c r="N31" s="773">
        <f>SUM(D31:M31)/(10-O$44)</f>
        <v>0</v>
      </c>
      <c r="O31" s="768"/>
    </row>
    <row r="32" spans="1:20" x14ac:dyDescent="0.2">
      <c r="A32" s="1031">
        <f>Led!Q96</f>
        <v>13</v>
      </c>
      <c r="B32" s="769"/>
      <c r="C32" s="771">
        <v>3</v>
      </c>
      <c r="D32" s="772"/>
      <c r="E32" s="772"/>
      <c r="F32" s="772"/>
      <c r="G32" s="772"/>
      <c r="H32" s="772"/>
      <c r="I32" s="772"/>
      <c r="J32" s="772"/>
      <c r="K32" s="772"/>
      <c r="L32" s="772"/>
      <c r="M32" s="772"/>
      <c r="N32" s="773">
        <f>SUM(D32:M32)/(10-O$45)</f>
        <v>0</v>
      </c>
      <c r="O32" s="768"/>
    </row>
    <row r="33" spans="1:19" ht="13.5" thickBot="1" x14ac:dyDescent="0.25">
      <c r="A33" s="1032"/>
      <c r="B33" s="774"/>
      <c r="C33" s="775">
        <v>4</v>
      </c>
      <c r="D33" s="776"/>
      <c r="E33" s="776"/>
      <c r="F33" s="776"/>
      <c r="G33" s="776"/>
      <c r="H33" s="776"/>
      <c r="I33" s="776"/>
      <c r="J33" s="776"/>
      <c r="K33" s="776"/>
      <c r="L33" s="776"/>
      <c r="M33" s="776"/>
      <c r="N33" s="777">
        <f>SUM(D33:M33)/(10-O$46)</f>
        <v>0</v>
      </c>
      <c r="O33" s="768"/>
    </row>
    <row r="34" spans="1:19" x14ac:dyDescent="0.2">
      <c r="B34" s="764" t="str">
        <f>B14</f>
        <v>Kornrost</v>
      </c>
      <c r="C34" s="765">
        <v>1</v>
      </c>
      <c r="D34" s="766"/>
      <c r="E34" s="766"/>
      <c r="F34" s="766"/>
      <c r="G34" s="766"/>
      <c r="H34" s="766"/>
      <c r="I34" s="766"/>
      <c r="J34" s="766"/>
      <c r="K34" s="766"/>
      <c r="L34" s="766"/>
      <c r="M34" s="766"/>
      <c r="N34" s="767">
        <f>SUM(D34:M34)/(10-O$43)</f>
        <v>0</v>
      </c>
      <c r="O34" s="768"/>
    </row>
    <row r="35" spans="1:19" x14ac:dyDescent="0.2">
      <c r="B35" s="769" t="str">
        <f>B15</f>
        <v>PUCCHD</v>
      </c>
      <c r="C35" s="771">
        <v>2</v>
      </c>
      <c r="D35" s="772"/>
      <c r="E35" s="772"/>
      <c r="F35" s="772"/>
      <c r="G35" s="772"/>
      <c r="H35" s="772"/>
      <c r="I35" s="772"/>
      <c r="J35" s="772"/>
      <c r="K35" s="772"/>
      <c r="L35" s="772"/>
      <c r="M35" s="772"/>
      <c r="N35" s="773">
        <f>SUM(D35:M35)/(10-O$44)</f>
        <v>0</v>
      </c>
      <c r="O35" s="768"/>
    </row>
    <row r="36" spans="1:19" x14ac:dyDescent="0.2">
      <c r="B36" s="769"/>
      <c r="C36" s="771">
        <v>3</v>
      </c>
      <c r="D36" s="772"/>
      <c r="E36" s="772"/>
      <c r="F36" s="772"/>
      <c r="G36" s="772"/>
      <c r="H36" s="772"/>
      <c r="I36" s="772"/>
      <c r="J36" s="772"/>
      <c r="K36" s="772"/>
      <c r="L36" s="772"/>
      <c r="M36" s="772"/>
      <c r="N36" s="773">
        <f>SUM(D36:M36)/(10-O$45)</f>
        <v>0</v>
      </c>
      <c r="O36" s="768"/>
    </row>
    <row r="37" spans="1:19" ht="13.5" thickBot="1" x14ac:dyDescent="0.25">
      <c r="B37" s="778"/>
      <c r="C37" s="775">
        <v>4</v>
      </c>
      <c r="D37" s="776"/>
      <c r="E37" s="776"/>
      <c r="F37" s="776"/>
      <c r="G37" s="776"/>
      <c r="H37" s="776"/>
      <c r="I37" s="776"/>
      <c r="J37" s="776"/>
      <c r="K37" s="776"/>
      <c r="L37" s="776"/>
      <c r="M37" s="776"/>
      <c r="N37" s="777">
        <f>SUM(D37:M37)/(10-O$46)</f>
        <v>0</v>
      </c>
      <c r="O37" s="768"/>
    </row>
    <row r="38" spans="1:19" x14ac:dyDescent="0.2">
      <c r="B38" s="764" t="str">
        <f>B18</f>
        <v>Sköldfläcksjuka</v>
      </c>
      <c r="C38" s="771">
        <v>1</v>
      </c>
      <c r="D38" s="772"/>
      <c r="E38" s="772"/>
      <c r="F38" s="772"/>
      <c r="G38" s="772"/>
      <c r="H38" s="772"/>
      <c r="I38" s="772"/>
      <c r="J38" s="772"/>
      <c r="K38" s="772"/>
      <c r="L38" s="772"/>
      <c r="M38" s="772"/>
      <c r="N38" s="767">
        <f>SUM(D38:M38)/(10-O$43)</f>
        <v>0</v>
      </c>
      <c r="O38" s="768"/>
    </row>
    <row r="39" spans="1:19" x14ac:dyDescent="0.2">
      <c r="B39" s="769" t="str">
        <f>B19</f>
        <v>RHYNSE</v>
      </c>
      <c r="C39" s="771">
        <v>2</v>
      </c>
      <c r="D39" s="772"/>
      <c r="E39" s="772"/>
      <c r="F39" s="772"/>
      <c r="G39" s="772"/>
      <c r="H39" s="772"/>
      <c r="I39" s="772"/>
      <c r="J39" s="772"/>
      <c r="K39" s="772"/>
      <c r="L39" s="772"/>
      <c r="M39" s="772"/>
      <c r="N39" s="773">
        <f>SUM(D39:M39)/(10-O$44)</f>
        <v>0</v>
      </c>
      <c r="O39" s="768"/>
      <c r="R39" s="764"/>
    </row>
    <row r="40" spans="1:19" x14ac:dyDescent="0.2">
      <c r="B40" s="769"/>
      <c r="C40" s="771">
        <v>3</v>
      </c>
      <c r="D40" s="772"/>
      <c r="E40" s="772"/>
      <c r="F40" s="772"/>
      <c r="G40" s="772"/>
      <c r="H40" s="772"/>
      <c r="I40" s="772"/>
      <c r="J40" s="772"/>
      <c r="K40" s="772"/>
      <c r="L40" s="772"/>
      <c r="M40" s="772"/>
      <c r="N40" s="773">
        <f>SUM(D40:M40)/(10-O$45)</f>
        <v>0</v>
      </c>
      <c r="O40" s="768"/>
      <c r="R40" s="764"/>
      <c r="S40" s="764"/>
    </row>
    <row r="41" spans="1:19" ht="13.5" thickBot="1" x14ac:dyDescent="0.25">
      <c r="B41" s="778"/>
      <c r="C41" s="775">
        <v>4</v>
      </c>
      <c r="D41" s="776"/>
      <c r="E41" s="776"/>
      <c r="F41" s="776"/>
      <c r="G41" s="776"/>
      <c r="H41" s="776"/>
      <c r="I41" s="776"/>
      <c r="J41" s="776"/>
      <c r="K41" s="776"/>
      <c r="L41" s="776"/>
      <c r="M41" s="776"/>
      <c r="N41" s="777">
        <f>SUM(D41:M41)/(10-O$46)</f>
        <v>0</v>
      </c>
      <c r="O41" s="768"/>
      <c r="R41" s="764"/>
      <c r="S41" s="764"/>
    </row>
    <row r="42" spans="1:19" x14ac:dyDescent="0.2">
      <c r="B42" s="764" t="str">
        <f>B22</f>
        <v>Bladfläcksjuka</v>
      </c>
      <c r="C42" s="771">
        <v>1</v>
      </c>
      <c r="D42" s="772"/>
      <c r="E42" s="772"/>
      <c r="F42" s="772"/>
      <c r="G42" s="772"/>
      <c r="H42" s="772"/>
      <c r="I42" s="772"/>
      <c r="J42" s="772"/>
      <c r="K42" s="772"/>
      <c r="L42" s="772"/>
      <c r="M42" s="772"/>
      <c r="N42" s="767">
        <f>SUM(D42:M42)/(10-O$43)</f>
        <v>0</v>
      </c>
      <c r="O42" s="787">
        <f>COUNTIF(D42:M42,"=V")</f>
        <v>0</v>
      </c>
      <c r="R42" s="764"/>
      <c r="S42" s="764"/>
    </row>
    <row r="43" spans="1:19" x14ac:dyDescent="0.2">
      <c r="B43" s="769" t="str">
        <f>B23</f>
        <v>PYRNTE</v>
      </c>
      <c r="C43" s="771">
        <v>2</v>
      </c>
      <c r="D43" s="772"/>
      <c r="E43" s="772"/>
      <c r="F43" s="772"/>
      <c r="G43" s="772"/>
      <c r="H43" s="772"/>
      <c r="I43" s="772"/>
      <c r="J43" s="772"/>
      <c r="K43" s="772"/>
      <c r="L43" s="772"/>
      <c r="M43" s="772"/>
      <c r="N43" s="773">
        <f>SUM(D43:M43)/(10-O$44)</f>
        <v>0</v>
      </c>
      <c r="O43" s="788">
        <f t="shared" ref="O43:O45" si="1">COUNTIF(D43:M43,"=V")</f>
        <v>0</v>
      </c>
      <c r="R43" s="764"/>
      <c r="S43" s="764"/>
    </row>
    <row r="44" spans="1:19" x14ac:dyDescent="0.2">
      <c r="B44" s="769"/>
      <c r="C44" s="771">
        <v>3</v>
      </c>
      <c r="D44" s="772"/>
      <c r="E44" s="772"/>
      <c r="F44" s="772"/>
      <c r="G44" s="772"/>
      <c r="H44" s="772"/>
      <c r="I44" s="772"/>
      <c r="J44" s="772"/>
      <c r="K44" s="772"/>
      <c r="L44" s="772"/>
      <c r="M44" s="772"/>
      <c r="N44" s="773">
        <f>SUM(D44:M44)/(10-O$45)</f>
        <v>0</v>
      </c>
      <c r="O44" s="788">
        <f t="shared" si="1"/>
        <v>0</v>
      </c>
      <c r="R44" s="764"/>
      <c r="S44" s="764"/>
    </row>
    <row r="45" spans="1:19" ht="13.5" thickBot="1" x14ac:dyDescent="0.25">
      <c r="B45" s="778"/>
      <c r="C45" s="775">
        <v>4</v>
      </c>
      <c r="D45" s="776"/>
      <c r="E45" s="776"/>
      <c r="F45" s="776"/>
      <c r="G45" s="776"/>
      <c r="H45" s="776"/>
      <c r="I45" s="776"/>
      <c r="J45" s="776"/>
      <c r="K45" s="776"/>
      <c r="L45" s="776"/>
      <c r="M45" s="776"/>
      <c r="N45" s="777">
        <f>SUM(D45:M45)/(10-O$46)</f>
        <v>0</v>
      </c>
      <c r="O45" s="789">
        <f t="shared" si="1"/>
        <v>0</v>
      </c>
      <c r="R45" s="764"/>
      <c r="S45" s="764"/>
    </row>
    <row r="46" spans="1:19" x14ac:dyDescent="0.2">
      <c r="B46" s="764" t="str">
        <f>B26</f>
        <v xml:space="preserve">  </v>
      </c>
      <c r="C46" s="771">
        <v>1</v>
      </c>
      <c r="D46" s="772"/>
      <c r="E46" s="772"/>
      <c r="F46" s="772"/>
      <c r="G46" s="772"/>
      <c r="H46" s="772"/>
      <c r="I46" s="772"/>
      <c r="J46" s="772"/>
      <c r="K46" s="772"/>
      <c r="L46" s="772"/>
      <c r="M46" s="772"/>
      <c r="N46" s="767">
        <f>SUM(D46:M46)/(10-O$43)</f>
        <v>0</v>
      </c>
      <c r="O46" s="768"/>
    </row>
    <row r="47" spans="1:19" x14ac:dyDescent="0.2">
      <c r="B47" s="769" t="str">
        <f>B27</f>
        <v xml:space="preserve">  </v>
      </c>
      <c r="C47" s="771">
        <v>2</v>
      </c>
      <c r="D47" s="772"/>
      <c r="E47" s="772"/>
      <c r="F47" s="772"/>
      <c r="G47" s="772"/>
      <c r="H47" s="772"/>
      <c r="I47" s="772"/>
      <c r="J47" s="772"/>
      <c r="K47" s="772"/>
      <c r="L47" s="772"/>
      <c r="M47" s="772"/>
      <c r="N47" s="773">
        <f>SUM(D47:M47)/(10-O$44)</f>
        <v>0</v>
      </c>
      <c r="O47" s="768"/>
    </row>
    <row r="48" spans="1:19" x14ac:dyDescent="0.2">
      <c r="B48" s="769"/>
      <c r="C48" s="771">
        <v>3</v>
      </c>
      <c r="D48" s="772"/>
      <c r="E48" s="772"/>
      <c r="F48" s="772"/>
      <c r="G48" s="772"/>
      <c r="H48" s="772"/>
      <c r="I48" s="772"/>
      <c r="J48" s="772"/>
      <c r="K48" s="772"/>
      <c r="L48" s="772"/>
      <c r="M48" s="772"/>
      <c r="N48" s="773">
        <f>SUM(D48:M48)/(10-O$45)</f>
        <v>0</v>
      </c>
      <c r="O48" s="768"/>
    </row>
    <row r="49" spans="1:15" ht="13.5" thickBot="1" x14ac:dyDescent="0.25">
      <c r="A49" s="782"/>
      <c r="B49" s="783"/>
      <c r="C49" s="784">
        <v>4</v>
      </c>
      <c r="D49" s="785"/>
      <c r="E49" s="785"/>
      <c r="F49" s="785"/>
      <c r="G49" s="785"/>
      <c r="H49" s="785"/>
      <c r="I49" s="785"/>
      <c r="J49" s="785"/>
      <c r="K49" s="785"/>
      <c r="L49" s="785"/>
      <c r="M49" s="785"/>
      <c r="N49" s="777">
        <f>SUM(D49:M49)/(10-O$46)</f>
        <v>0</v>
      </c>
      <c r="O49" s="768"/>
    </row>
    <row r="50" spans="1:15" ht="13.5" thickTop="1" x14ac:dyDescent="0.2">
      <c r="A50" s="680"/>
      <c r="B50" s="680"/>
      <c r="C50" s="680"/>
      <c r="D50" s="680"/>
      <c r="E50" s="680"/>
      <c r="F50" s="680"/>
      <c r="G50" s="680"/>
      <c r="H50" s="680"/>
      <c r="I50" s="680"/>
      <c r="J50" s="680"/>
      <c r="K50" s="680"/>
      <c r="L50" s="680"/>
      <c r="M50" s="680"/>
      <c r="N50" s="680"/>
    </row>
    <row r="51" spans="1:15" x14ac:dyDescent="0.2">
      <c r="A51" s="680"/>
      <c r="B51" s="680"/>
      <c r="C51" s="680"/>
      <c r="D51" s="680"/>
      <c r="E51" s="680"/>
      <c r="F51" s="680"/>
      <c r="G51" s="680"/>
      <c r="H51" s="680"/>
      <c r="I51" s="680"/>
      <c r="J51" s="680"/>
      <c r="K51" s="680"/>
      <c r="L51" s="680"/>
      <c r="M51" s="680"/>
      <c r="N51" s="680"/>
    </row>
    <row r="52" spans="1:15" x14ac:dyDescent="0.2">
      <c r="A52" s="680"/>
      <c r="B52" s="680"/>
      <c r="C52" s="680"/>
      <c r="D52" s="680"/>
      <c r="E52" s="680"/>
      <c r="F52" s="680"/>
      <c r="G52" s="680"/>
      <c r="H52" s="680"/>
      <c r="I52" s="680"/>
      <c r="J52" s="680"/>
      <c r="K52" s="680"/>
      <c r="L52" s="680"/>
      <c r="M52" s="680"/>
      <c r="N52" s="680"/>
    </row>
    <row r="53" spans="1:15" ht="15.75" x14ac:dyDescent="0.25">
      <c r="L53" s="756" t="s">
        <v>685</v>
      </c>
    </row>
    <row r="54" spans="1:15" ht="8.25" customHeight="1" x14ac:dyDescent="0.2"/>
    <row r="55" spans="1:15" x14ac:dyDescent="0.2">
      <c r="A55" s="1013" t="s">
        <v>648</v>
      </c>
      <c r="B55" s="1013"/>
      <c r="C55" s="1014" t="s">
        <v>155</v>
      </c>
      <c r="D55" s="1015"/>
      <c r="E55" s="1016"/>
      <c r="F55" s="1017" t="s">
        <v>649</v>
      </c>
      <c r="G55" s="1018"/>
      <c r="H55" s="1019"/>
      <c r="I55" s="1020" t="s">
        <v>46</v>
      </c>
      <c r="J55" s="1020"/>
      <c r="K55" s="1020"/>
      <c r="L55" s="1017"/>
      <c r="M55" s="1020" t="s">
        <v>650</v>
      </c>
      <c r="N55" s="1020"/>
    </row>
    <row r="56" spans="1:15" ht="25.5" customHeight="1" x14ac:dyDescent="0.25">
      <c r="A56" s="1021" t="str">
        <f>IF(ISBLANK(A6),"",A6)</f>
        <v>HUG066</v>
      </c>
      <c r="B56" s="1021"/>
      <c r="C56" s="1022" t="str">
        <f>IF(ISBLANK(C6),"",C6)</f>
        <v>M-658-2014</v>
      </c>
      <c r="D56" s="1023"/>
      <c r="E56" s="1024"/>
      <c r="F56" s="1025" t="str">
        <f>IF(ISBLANK(F6),"",F6)</f>
        <v/>
      </c>
      <c r="G56" s="1026"/>
      <c r="H56" s="1027"/>
      <c r="I56" s="1025" t="str">
        <f>IF(ISBLANK(I6),"",I6)</f>
        <v/>
      </c>
      <c r="J56" s="1026"/>
      <c r="K56" s="1026"/>
      <c r="L56" s="1026"/>
      <c r="M56" s="1028" t="str">
        <f>IF(ISBLANK(M6),"",M6)</f>
        <v/>
      </c>
      <c r="N56" s="1028"/>
    </row>
    <row r="57" spans="1:15" x14ac:dyDescent="0.2">
      <c r="D57" s="1009" t="s">
        <v>1381</v>
      </c>
      <c r="E57" s="1009"/>
      <c r="F57" s="1009"/>
      <c r="G57" s="1009"/>
      <c r="H57" s="1009"/>
      <c r="I57" s="1009"/>
      <c r="J57" s="1009"/>
      <c r="K57" s="1009"/>
      <c r="L57" s="1009"/>
      <c r="M57" s="1009"/>
      <c r="N57" s="1009"/>
    </row>
    <row r="58" spans="1:15" x14ac:dyDescent="0.2">
      <c r="B58" s="757" t="s">
        <v>651</v>
      </c>
      <c r="C58" s="758" t="s">
        <v>652</v>
      </c>
      <c r="D58" s="1029" t="s">
        <v>653</v>
      </c>
      <c r="E58" s="1030"/>
      <c r="F58" s="1030"/>
      <c r="G58" s="1030"/>
      <c r="H58" s="1030"/>
      <c r="I58" s="1030"/>
      <c r="J58" s="1030"/>
      <c r="K58" s="1030"/>
      <c r="L58" s="1030"/>
      <c r="M58" s="1030"/>
      <c r="O58" s="753" t="s">
        <v>654</v>
      </c>
    </row>
    <row r="59" spans="1:15" ht="13.5" thickBot="1" x14ac:dyDescent="0.25">
      <c r="A59" s="759"/>
      <c r="B59" s="759"/>
      <c r="C59" s="760" t="s">
        <v>655</v>
      </c>
      <c r="D59" s="761">
        <v>1</v>
      </c>
      <c r="E59" s="761">
        <v>2</v>
      </c>
      <c r="F59" s="761">
        <v>3</v>
      </c>
      <c r="G59" s="761">
        <v>4</v>
      </c>
      <c r="H59" s="761">
        <v>5</v>
      </c>
      <c r="I59" s="761">
        <v>6</v>
      </c>
      <c r="J59" s="761">
        <v>7</v>
      </c>
      <c r="K59" s="761">
        <v>8</v>
      </c>
      <c r="L59" s="761">
        <v>9</v>
      </c>
      <c r="M59" s="761">
        <v>10</v>
      </c>
      <c r="N59" s="762" t="s">
        <v>656</v>
      </c>
      <c r="O59" s="761" t="s">
        <v>657</v>
      </c>
    </row>
    <row r="60" spans="1:15" x14ac:dyDescent="0.2">
      <c r="A60" s="763" t="s">
        <v>686</v>
      </c>
      <c r="B60" s="764" t="str">
        <f>B10</f>
        <v>Mjöldagg</v>
      </c>
      <c r="C60" s="765">
        <v>1</v>
      </c>
      <c r="D60" s="766"/>
      <c r="E60" s="766"/>
      <c r="F60" s="766"/>
      <c r="G60" s="766"/>
      <c r="H60" s="766"/>
      <c r="I60" s="766"/>
      <c r="J60" s="766"/>
      <c r="K60" s="766"/>
      <c r="L60" s="766"/>
      <c r="M60" s="766"/>
      <c r="N60" s="767">
        <f>SUM(D60:M60)/(10-O$73)</f>
        <v>0</v>
      </c>
      <c r="O60" s="768"/>
    </row>
    <row r="61" spans="1:15" x14ac:dyDescent="0.2">
      <c r="A61" s="770" t="s">
        <v>662</v>
      </c>
      <c r="B61" s="769" t="str">
        <f>B11</f>
        <v>ERYSGR</v>
      </c>
      <c r="C61" s="771">
        <v>2</v>
      </c>
      <c r="D61" s="772"/>
      <c r="E61" s="772"/>
      <c r="F61" s="772"/>
      <c r="G61" s="772"/>
      <c r="H61" s="772"/>
      <c r="I61" s="772"/>
      <c r="J61" s="772"/>
      <c r="K61" s="772"/>
      <c r="L61" s="772"/>
      <c r="M61" s="772"/>
      <c r="N61" s="773">
        <f>SUM(D61:M61)/(10-O$74)</f>
        <v>0</v>
      </c>
      <c r="O61" s="768"/>
    </row>
    <row r="62" spans="1:15" x14ac:dyDescent="0.2">
      <c r="A62" s="1031">
        <f>Led!Q97</f>
        <v>15</v>
      </c>
      <c r="B62" s="769"/>
      <c r="C62" s="771">
        <v>3</v>
      </c>
      <c r="D62" s="772"/>
      <c r="E62" s="772"/>
      <c r="F62" s="772"/>
      <c r="G62" s="772"/>
      <c r="H62" s="772"/>
      <c r="I62" s="772"/>
      <c r="J62" s="772"/>
      <c r="K62" s="772"/>
      <c r="L62" s="772"/>
      <c r="M62" s="772"/>
      <c r="N62" s="773">
        <f>SUM(D62:M62)/(10-O$75)</f>
        <v>0</v>
      </c>
      <c r="O62" s="768"/>
    </row>
    <row r="63" spans="1:15" ht="13.5" thickBot="1" x14ac:dyDescent="0.25">
      <c r="A63" s="1032"/>
      <c r="B63" s="774"/>
      <c r="C63" s="775">
        <v>4</v>
      </c>
      <c r="D63" s="776"/>
      <c r="E63" s="776"/>
      <c r="F63" s="776"/>
      <c r="G63" s="776"/>
      <c r="H63" s="776"/>
      <c r="I63" s="776"/>
      <c r="J63" s="776"/>
      <c r="K63" s="776"/>
      <c r="L63" s="776"/>
      <c r="M63" s="776"/>
      <c r="N63" s="777">
        <f>SUM(D63:M63)/(10-O$76)</f>
        <v>0</v>
      </c>
      <c r="O63" s="768"/>
    </row>
    <row r="64" spans="1:15" x14ac:dyDescent="0.2">
      <c r="B64" s="764" t="str">
        <f>B14</f>
        <v>Kornrost</v>
      </c>
      <c r="C64" s="765">
        <v>1</v>
      </c>
      <c r="D64" s="766"/>
      <c r="E64" s="766"/>
      <c r="F64" s="766"/>
      <c r="G64" s="766"/>
      <c r="H64" s="766"/>
      <c r="I64" s="766"/>
      <c r="J64" s="766"/>
      <c r="K64" s="766"/>
      <c r="L64" s="766"/>
      <c r="M64" s="766"/>
      <c r="N64" s="767">
        <f>SUM(D64:M64)/(10-O$73)</f>
        <v>0</v>
      </c>
      <c r="O64" s="768"/>
    </row>
    <row r="65" spans="1:15" x14ac:dyDescent="0.2">
      <c r="B65" s="769" t="str">
        <f>B15</f>
        <v>PUCCHD</v>
      </c>
      <c r="C65" s="771">
        <v>2</v>
      </c>
      <c r="D65" s="772"/>
      <c r="E65" s="772"/>
      <c r="F65" s="772"/>
      <c r="G65" s="772"/>
      <c r="H65" s="772"/>
      <c r="I65" s="772"/>
      <c r="J65" s="772"/>
      <c r="K65" s="772"/>
      <c r="L65" s="772"/>
      <c r="M65" s="772"/>
      <c r="N65" s="773">
        <f>SUM(D65:M65)/(10-O$74)</f>
        <v>0</v>
      </c>
      <c r="O65" s="768"/>
    </row>
    <row r="66" spans="1:15" x14ac:dyDescent="0.2">
      <c r="B66" s="769"/>
      <c r="C66" s="771">
        <v>3</v>
      </c>
      <c r="D66" s="772"/>
      <c r="E66" s="772"/>
      <c r="F66" s="772"/>
      <c r="G66" s="772"/>
      <c r="H66" s="772"/>
      <c r="I66" s="772"/>
      <c r="J66" s="772"/>
      <c r="K66" s="772"/>
      <c r="L66" s="772"/>
      <c r="M66" s="772"/>
      <c r="N66" s="773">
        <f>SUM(D66:M66)/(10-O$75)</f>
        <v>0</v>
      </c>
      <c r="O66" s="768"/>
    </row>
    <row r="67" spans="1:15" ht="13.5" thickBot="1" x14ac:dyDescent="0.25">
      <c r="B67" s="778"/>
      <c r="C67" s="775">
        <v>4</v>
      </c>
      <c r="D67" s="776"/>
      <c r="E67" s="776"/>
      <c r="F67" s="776"/>
      <c r="G67" s="776"/>
      <c r="H67" s="776"/>
      <c r="I67" s="776"/>
      <c r="J67" s="776"/>
      <c r="K67" s="776"/>
      <c r="L67" s="776"/>
      <c r="M67" s="776"/>
      <c r="N67" s="777">
        <f>SUM(D67:M67)/(10-O$76)</f>
        <v>0</v>
      </c>
      <c r="O67" s="768"/>
    </row>
    <row r="68" spans="1:15" x14ac:dyDescent="0.2">
      <c r="B68" s="764" t="str">
        <f>B18</f>
        <v>Sköldfläcksjuka</v>
      </c>
      <c r="C68" s="771">
        <v>1</v>
      </c>
      <c r="D68" s="766"/>
      <c r="E68" s="772"/>
      <c r="F68" s="772"/>
      <c r="G68" s="772"/>
      <c r="H68" s="772"/>
      <c r="I68" s="772"/>
      <c r="J68" s="772"/>
      <c r="K68" s="772"/>
      <c r="L68" s="772"/>
      <c r="M68" s="772"/>
      <c r="N68" s="767">
        <f>SUM(D68:M68)/(10-O$73)</f>
        <v>0</v>
      </c>
      <c r="O68" s="768"/>
    </row>
    <row r="69" spans="1:15" x14ac:dyDescent="0.2">
      <c r="B69" s="769" t="str">
        <f>B19</f>
        <v>RHYNSE</v>
      </c>
      <c r="C69" s="771">
        <v>2</v>
      </c>
      <c r="D69" s="772"/>
      <c r="E69" s="772"/>
      <c r="F69" s="772"/>
      <c r="G69" s="772"/>
      <c r="H69" s="772"/>
      <c r="I69" s="772"/>
      <c r="J69" s="772"/>
      <c r="K69" s="772"/>
      <c r="L69" s="772"/>
      <c r="M69" s="772"/>
      <c r="N69" s="773">
        <f>SUM(D69:M69)/(10-O$74)</f>
        <v>0</v>
      </c>
      <c r="O69" s="768"/>
    </row>
    <row r="70" spans="1:15" x14ac:dyDescent="0.2">
      <c r="B70" s="769"/>
      <c r="C70" s="771">
        <v>3</v>
      </c>
      <c r="D70" s="772"/>
      <c r="E70" s="772"/>
      <c r="F70" s="772"/>
      <c r="G70" s="772"/>
      <c r="H70" s="772"/>
      <c r="I70" s="772"/>
      <c r="J70" s="772"/>
      <c r="K70" s="772"/>
      <c r="L70" s="772"/>
      <c r="M70" s="772"/>
      <c r="N70" s="773">
        <f>SUM(D70:M70)/(10-O$75)</f>
        <v>0</v>
      </c>
      <c r="O70" s="768"/>
    </row>
    <row r="71" spans="1:15" ht="13.5" thickBot="1" x14ac:dyDescent="0.25">
      <c r="B71" s="778"/>
      <c r="C71" s="775">
        <v>4</v>
      </c>
      <c r="D71" s="776"/>
      <c r="E71" s="776"/>
      <c r="F71" s="776"/>
      <c r="G71" s="776"/>
      <c r="H71" s="776"/>
      <c r="I71" s="776"/>
      <c r="J71" s="776"/>
      <c r="K71" s="776"/>
      <c r="L71" s="776"/>
      <c r="M71" s="776"/>
      <c r="N71" s="777">
        <f>SUM(D71:M71)/(10-O$76)</f>
        <v>0</v>
      </c>
      <c r="O71" s="768"/>
    </row>
    <row r="72" spans="1:15" x14ac:dyDescent="0.2">
      <c r="B72" s="764" t="str">
        <f>B22</f>
        <v>Bladfläcksjuka</v>
      </c>
      <c r="C72" s="771">
        <v>1</v>
      </c>
      <c r="D72" s="766"/>
      <c r="E72" s="772"/>
      <c r="F72" s="772"/>
      <c r="G72" s="772"/>
      <c r="H72" s="772"/>
      <c r="I72" s="772"/>
      <c r="J72" s="772"/>
      <c r="K72" s="772"/>
      <c r="L72" s="772"/>
      <c r="M72" s="772"/>
      <c r="N72" s="767">
        <f>SUM(D72:M72)/(10-O$73)</f>
        <v>0</v>
      </c>
      <c r="O72" s="787">
        <f>COUNTIF(D72:M72,"=V")</f>
        <v>0</v>
      </c>
    </row>
    <row r="73" spans="1:15" x14ac:dyDescent="0.2">
      <c r="B73" s="769" t="str">
        <f>B23</f>
        <v>PYRNTE</v>
      </c>
      <c r="C73" s="771">
        <v>2</v>
      </c>
      <c r="D73" s="772"/>
      <c r="E73" s="772"/>
      <c r="F73" s="772"/>
      <c r="G73" s="772"/>
      <c r="H73" s="772"/>
      <c r="I73" s="772"/>
      <c r="J73" s="772"/>
      <c r="K73" s="772"/>
      <c r="L73" s="772"/>
      <c r="M73" s="772"/>
      <c r="N73" s="773">
        <f>SUM(D73:M73)/(10-O$74)</f>
        <v>0</v>
      </c>
      <c r="O73" s="788">
        <f t="shared" ref="O73:O75" si="2">COUNTIF(D73:M73,"=V")</f>
        <v>0</v>
      </c>
    </row>
    <row r="74" spans="1:15" x14ac:dyDescent="0.2">
      <c r="B74" s="769"/>
      <c r="C74" s="771">
        <v>3</v>
      </c>
      <c r="D74" s="772"/>
      <c r="E74" s="772"/>
      <c r="F74" s="772"/>
      <c r="G74" s="772"/>
      <c r="H74" s="772"/>
      <c r="I74" s="772"/>
      <c r="J74" s="772"/>
      <c r="K74" s="772"/>
      <c r="L74" s="772"/>
      <c r="M74" s="772"/>
      <c r="N74" s="773">
        <f>SUM(D74:M74)/(10-O$75)</f>
        <v>0</v>
      </c>
      <c r="O74" s="788">
        <f t="shared" si="2"/>
        <v>0</v>
      </c>
    </row>
    <row r="75" spans="1:15" ht="13.5" thickBot="1" x14ac:dyDescent="0.25">
      <c r="B75" s="778"/>
      <c r="C75" s="775">
        <v>4</v>
      </c>
      <c r="D75" s="776"/>
      <c r="E75" s="776"/>
      <c r="F75" s="776"/>
      <c r="G75" s="776"/>
      <c r="H75" s="776"/>
      <c r="I75" s="776"/>
      <c r="J75" s="776"/>
      <c r="K75" s="776"/>
      <c r="L75" s="776"/>
      <c r="M75" s="776"/>
      <c r="N75" s="777">
        <f>SUM(D75:M75)/(10-O$76)</f>
        <v>0</v>
      </c>
      <c r="O75" s="789">
        <f t="shared" si="2"/>
        <v>0</v>
      </c>
    </row>
    <row r="76" spans="1:15" x14ac:dyDescent="0.2">
      <c r="B76" s="764" t="str">
        <f>B26</f>
        <v xml:space="preserve">  </v>
      </c>
      <c r="C76" s="771">
        <v>1</v>
      </c>
      <c r="D76" s="772"/>
      <c r="E76" s="772"/>
      <c r="F76" s="772"/>
      <c r="G76" s="772"/>
      <c r="H76" s="772"/>
      <c r="I76" s="772"/>
      <c r="J76" s="772"/>
      <c r="K76" s="772"/>
      <c r="L76" s="772"/>
      <c r="M76" s="772"/>
      <c r="N76" s="767">
        <f>SUM(D76:M76)/(10-O$73)</f>
        <v>0</v>
      </c>
      <c r="O76" s="768"/>
    </row>
    <row r="77" spans="1:15" x14ac:dyDescent="0.2">
      <c r="B77" s="769" t="str">
        <f>B27</f>
        <v xml:space="preserve">  </v>
      </c>
      <c r="C77" s="771">
        <v>2</v>
      </c>
      <c r="D77" s="772"/>
      <c r="E77" s="772"/>
      <c r="F77" s="772"/>
      <c r="G77" s="772"/>
      <c r="H77" s="772"/>
      <c r="I77" s="772"/>
      <c r="J77" s="772"/>
      <c r="K77" s="772"/>
      <c r="L77" s="772"/>
      <c r="M77" s="772"/>
      <c r="N77" s="773">
        <f>SUM(D77:M77)/(10-O$74)</f>
        <v>0</v>
      </c>
      <c r="O77" s="768"/>
    </row>
    <row r="78" spans="1:15" x14ac:dyDescent="0.2">
      <c r="B78" s="769"/>
      <c r="C78" s="771">
        <v>3</v>
      </c>
      <c r="D78" s="772"/>
      <c r="E78" s="772"/>
      <c r="F78" s="772"/>
      <c r="G78" s="772"/>
      <c r="H78" s="772"/>
      <c r="I78" s="772"/>
      <c r="J78" s="772"/>
      <c r="K78" s="772"/>
      <c r="L78" s="772"/>
      <c r="M78" s="772"/>
      <c r="N78" s="773">
        <f>SUM(D78:M78)/(10-O$75)</f>
        <v>0</v>
      </c>
      <c r="O78" s="768"/>
    </row>
    <row r="79" spans="1:15" ht="13.5" thickBot="1" x14ac:dyDescent="0.25">
      <c r="A79" s="782"/>
      <c r="B79" s="783"/>
      <c r="C79" s="784">
        <v>4</v>
      </c>
      <c r="D79" s="785"/>
      <c r="E79" s="785"/>
      <c r="F79" s="785"/>
      <c r="G79" s="785"/>
      <c r="H79" s="785"/>
      <c r="I79" s="785"/>
      <c r="J79" s="785"/>
      <c r="K79" s="785"/>
      <c r="L79" s="785"/>
      <c r="M79" s="785"/>
      <c r="N79" s="777">
        <f>SUM(D79:M79)/(10-O$76)</f>
        <v>0</v>
      </c>
      <c r="O79" s="790"/>
    </row>
    <row r="80" spans="1:15" ht="13.5" thickTop="1" x14ac:dyDescent="0.2">
      <c r="A80" s="763" t="s">
        <v>687</v>
      </c>
      <c r="B80" s="764" t="str">
        <f>B60</f>
        <v>Mjöldagg</v>
      </c>
      <c r="C80" s="765">
        <v>1</v>
      </c>
      <c r="D80" s="766"/>
      <c r="E80" s="766"/>
      <c r="F80" s="766"/>
      <c r="G80" s="766"/>
      <c r="H80" s="766"/>
      <c r="I80" s="766"/>
      <c r="J80" s="766"/>
      <c r="K80" s="766"/>
      <c r="L80" s="766"/>
      <c r="M80" s="766"/>
      <c r="N80" s="767">
        <f>SUM(D80:M80)/(10-O$93)</f>
        <v>0</v>
      </c>
      <c r="O80" s="768"/>
    </row>
    <row r="81" spans="1:15" x14ac:dyDescent="0.2">
      <c r="A81" s="770" t="s">
        <v>662</v>
      </c>
      <c r="B81" s="769" t="str">
        <f>B61</f>
        <v>ERYSGR</v>
      </c>
      <c r="C81" s="771">
        <v>2</v>
      </c>
      <c r="D81" s="772"/>
      <c r="E81" s="772"/>
      <c r="F81" s="772"/>
      <c r="G81" s="772"/>
      <c r="H81" s="772"/>
      <c r="I81" s="772"/>
      <c r="J81" s="772"/>
      <c r="K81" s="772"/>
      <c r="L81" s="772"/>
      <c r="M81" s="772"/>
      <c r="N81" s="773">
        <f>SUM(D81:M81)/(10-O$94)</f>
        <v>0</v>
      </c>
      <c r="O81" s="768"/>
    </row>
    <row r="82" spans="1:15" x14ac:dyDescent="0.2">
      <c r="A82" s="1031">
        <f>Led!Q98</f>
        <v>24</v>
      </c>
      <c r="B82" s="769"/>
      <c r="C82" s="771">
        <v>3</v>
      </c>
      <c r="D82" s="772"/>
      <c r="E82" s="772"/>
      <c r="F82" s="772"/>
      <c r="G82" s="772"/>
      <c r="H82" s="772"/>
      <c r="I82" s="772"/>
      <c r="J82" s="772"/>
      <c r="K82" s="772"/>
      <c r="L82" s="772"/>
      <c r="M82" s="772"/>
      <c r="N82" s="773">
        <f>SUM(D82:M82)/(10-O$95)</f>
        <v>0</v>
      </c>
      <c r="O82" s="768"/>
    </row>
    <row r="83" spans="1:15" ht="13.5" thickBot="1" x14ac:dyDescent="0.25">
      <c r="A83" s="1032"/>
      <c r="B83" s="774"/>
      <c r="C83" s="775">
        <v>4</v>
      </c>
      <c r="D83" s="776"/>
      <c r="E83" s="776"/>
      <c r="F83" s="776"/>
      <c r="G83" s="776"/>
      <c r="H83" s="776"/>
      <c r="I83" s="776"/>
      <c r="J83" s="776"/>
      <c r="K83" s="776"/>
      <c r="L83" s="776"/>
      <c r="M83" s="776"/>
      <c r="N83" s="777">
        <f>SUM(D83:M83)/(10-O$96)</f>
        <v>0</v>
      </c>
      <c r="O83" s="768"/>
    </row>
    <row r="84" spans="1:15" x14ac:dyDescent="0.2">
      <c r="B84" s="764" t="str">
        <f>B64</f>
        <v>Kornrost</v>
      </c>
      <c r="C84" s="765">
        <v>1</v>
      </c>
      <c r="D84" s="766"/>
      <c r="E84" s="766"/>
      <c r="F84" s="766"/>
      <c r="G84" s="766"/>
      <c r="H84" s="766"/>
      <c r="I84" s="766"/>
      <c r="J84" s="766"/>
      <c r="K84" s="766"/>
      <c r="L84" s="766"/>
      <c r="M84" s="766"/>
      <c r="N84" s="767">
        <f>SUM(D84:M84)/(10-O$93)</f>
        <v>0</v>
      </c>
      <c r="O84" s="768"/>
    </row>
    <row r="85" spans="1:15" x14ac:dyDescent="0.2">
      <c r="B85" s="769" t="str">
        <f>B65</f>
        <v>PUCCHD</v>
      </c>
      <c r="C85" s="771">
        <v>2</v>
      </c>
      <c r="D85" s="772"/>
      <c r="E85" s="772"/>
      <c r="F85" s="772"/>
      <c r="G85" s="772"/>
      <c r="H85" s="772"/>
      <c r="I85" s="772"/>
      <c r="J85" s="772"/>
      <c r="K85" s="772"/>
      <c r="L85" s="772"/>
      <c r="M85" s="772"/>
      <c r="N85" s="773">
        <f>SUM(D85:M85)/(10-O$94)</f>
        <v>0</v>
      </c>
      <c r="O85" s="768"/>
    </row>
    <row r="86" spans="1:15" x14ac:dyDescent="0.2">
      <c r="B86" s="769"/>
      <c r="C86" s="771">
        <v>3</v>
      </c>
      <c r="D86" s="772"/>
      <c r="E86" s="772"/>
      <c r="F86" s="772"/>
      <c r="G86" s="772"/>
      <c r="H86" s="772"/>
      <c r="I86" s="772"/>
      <c r="J86" s="772"/>
      <c r="K86" s="772"/>
      <c r="L86" s="772"/>
      <c r="M86" s="772"/>
      <c r="N86" s="773">
        <f>SUM(D86:M86)/(10-O$95)</f>
        <v>0</v>
      </c>
      <c r="O86" s="768"/>
    </row>
    <row r="87" spans="1:15" ht="13.5" thickBot="1" x14ac:dyDescent="0.25">
      <c r="B87" s="778"/>
      <c r="C87" s="775">
        <v>4</v>
      </c>
      <c r="D87" s="776"/>
      <c r="E87" s="776"/>
      <c r="F87" s="776"/>
      <c r="G87" s="776"/>
      <c r="H87" s="776"/>
      <c r="I87" s="776"/>
      <c r="J87" s="776"/>
      <c r="K87" s="776"/>
      <c r="L87" s="776"/>
      <c r="M87" s="776"/>
      <c r="N87" s="777">
        <f>SUM(D87:M87)/(10-O$96)</f>
        <v>0</v>
      </c>
      <c r="O87" s="768"/>
    </row>
    <row r="88" spans="1:15" x14ac:dyDescent="0.2">
      <c r="B88" s="764" t="str">
        <f>B68</f>
        <v>Sköldfläcksjuka</v>
      </c>
      <c r="C88" s="771">
        <v>1</v>
      </c>
      <c r="D88" s="772"/>
      <c r="E88" s="772"/>
      <c r="F88" s="772"/>
      <c r="G88" s="772"/>
      <c r="H88" s="772"/>
      <c r="I88" s="772"/>
      <c r="J88" s="772"/>
      <c r="K88" s="772"/>
      <c r="L88" s="772"/>
      <c r="M88" s="772"/>
      <c r="N88" s="767">
        <f>SUM(D88:M88)/(10-O$93)</f>
        <v>0</v>
      </c>
      <c r="O88" s="768"/>
    </row>
    <row r="89" spans="1:15" x14ac:dyDescent="0.2">
      <c r="B89" s="769" t="str">
        <f>B69</f>
        <v>RHYNSE</v>
      </c>
      <c r="C89" s="771">
        <v>2</v>
      </c>
      <c r="D89" s="772"/>
      <c r="E89" s="772"/>
      <c r="F89" s="772"/>
      <c r="G89" s="772"/>
      <c r="H89" s="772"/>
      <c r="I89" s="772"/>
      <c r="J89" s="772"/>
      <c r="K89" s="772"/>
      <c r="L89" s="772"/>
      <c r="M89" s="772"/>
      <c r="N89" s="773">
        <f>SUM(D89:M89)/(10-O$94)</f>
        <v>0</v>
      </c>
      <c r="O89" s="768"/>
    </row>
    <row r="90" spans="1:15" x14ac:dyDescent="0.2">
      <c r="B90" s="769"/>
      <c r="C90" s="771">
        <v>3</v>
      </c>
      <c r="D90" s="772"/>
      <c r="E90" s="772"/>
      <c r="F90" s="772"/>
      <c r="G90" s="772"/>
      <c r="H90" s="772"/>
      <c r="I90" s="772"/>
      <c r="J90" s="772"/>
      <c r="K90" s="772"/>
      <c r="L90" s="772"/>
      <c r="M90" s="772"/>
      <c r="N90" s="773">
        <f>SUM(D90:M90)/(10-O$95)</f>
        <v>0</v>
      </c>
      <c r="O90" s="768"/>
    </row>
    <row r="91" spans="1:15" ht="13.5" thickBot="1" x14ac:dyDescent="0.25">
      <c r="B91" s="778"/>
      <c r="C91" s="775">
        <v>4</v>
      </c>
      <c r="D91" s="776"/>
      <c r="E91" s="776"/>
      <c r="F91" s="776"/>
      <c r="G91" s="776"/>
      <c r="H91" s="776"/>
      <c r="I91" s="776"/>
      <c r="J91" s="776"/>
      <c r="K91" s="776"/>
      <c r="L91" s="776"/>
      <c r="M91" s="776"/>
      <c r="N91" s="777">
        <f>SUM(D91:M91)/(10-O$96)</f>
        <v>0</v>
      </c>
      <c r="O91" s="768"/>
    </row>
    <row r="92" spans="1:15" x14ac:dyDescent="0.2">
      <c r="B92" s="764" t="str">
        <f>B72</f>
        <v>Bladfläcksjuka</v>
      </c>
      <c r="C92" s="771">
        <v>1</v>
      </c>
      <c r="D92" s="772"/>
      <c r="E92" s="772"/>
      <c r="F92" s="772"/>
      <c r="G92" s="772"/>
      <c r="H92" s="772"/>
      <c r="I92" s="772"/>
      <c r="J92" s="772"/>
      <c r="K92" s="772"/>
      <c r="L92" s="772"/>
      <c r="M92" s="772"/>
      <c r="N92" s="767">
        <f>SUM(D92:M92)/(10-O$93)</f>
        <v>0</v>
      </c>
      <c r="O92" s="787">
        <f>COUNTIF(D92:M92,"=V")</f>
        <v>0</v>
      </c>
    </row>
    <row r="93" spans="1:15" x14ac:dyDescent="0.2">
      <c r="B93" s="769" t="str">
        <f>B73</f>
        <v>PYRNTE</v>
      </c>
      <c r="C93" s="771">
        <v>2</v>
      </c>
      <c r="D93" s="772"/>
      <c r="E93" s="772"/>
      <c r="F93" s="772"/>
      <c r="G93" s="772"/>
      <c r="H93" s="772"/>
      <c r="I93" s="772"/>
      <c r="J93" s="772"/>
      <c r="K93" s="772"/>
      <c r="L93" s="772"/>
      <c r="M93" s="772"/>
      <c r="N93" s="773">
        <f>SUM(D93:M93)/(10-O$94)</f>
        <v>0</v>
      </c>
      <c r="O93" s="788">
        <f t="shared" ref="O93:O95" si="3">COUNTIF(D93:M93,"=V")</f>
        <v>0</v>
      </c>
    </row>
    <row r="94" spans="1:15" x14ac:dyDescent="0.2">
      <c r="B94" s="769"/>
      <c r="C94" s="771">
        <v>3</v>
      </c>
      <c r="D94" s="772"/>
      <c r="E94" s="772"/>
      <c r="F94" s="772"/>
      <c r="G94" s="772"/>
      <c r="H94" s="772"/>
      <c r="I94" s="772"/>
      <c r="J94" s="772"/>
      <c r="K94" s="772"/>
      <c r="L94" s="772"/>
      <c r="M94" s="772"/>
      <c r="N94" s="773">
        <f>SUM(D94:M94)/(10-O$95)</f>
        <v>0</v>
      </c>
      <c r="O94" s="788">
        <f t="shared" si="3"/>
        <v>0</v>
      </c>
    </row>
    <row r="95" spans="1:15" ht="13.5" thickBot="1" x14ac:dyDescent="0.25">
      <c r="B95" s="778"/>
      <c r="C95" s="775">
        <v>4</v>
      </c>
      <c r="D95" s="776"/>
      <c r="E95" s="776"/>
      <c r="F95" s="776"/>
      <c r="G95" s="776"/>
      <c r="H95" s="776"/>
      <c r="I95" s="776"/>
      <c r="J95" s="776"/>
      <c r="K95" s="776"/>
      <c r="L95" s="776"/>
      <c r="M95" s="776"/>
      <c r="N95" s="777">
        <f>SUM(D95:M95)/(10-O$96)</f>
        <v>0</v>
      </c>
      <c r="O95" s="789">
        <f t="shared" si="3"/>
        <v>0</v>
      </c>
    </row>
    <row r="96" spans="1:15" x14ac:dyDescent="0.2">
      <c r="B96" s="764" t="str">
        <f>B76</f>
        <v xml:space="preserve">  </v>
      </c>
      <c r="C96" s="771">
        <v>1</v>
      </c>
      <c r="D96" s="772"/>
      <c r="E96" s="772"/>
      <c r="F96" s="772"/>
      <c r="G96" s="772"/>
      <c r="H96" s="772"/>
      <c r="I96" s="772"/>
      <c r="J96" s="772"/>
      <c r="K96" s="772"/>
      <c r="L96" s="772"/>
      <c r="M96" s="772"/>
      <c r="N96" s="767">
        <f>SUM(D96:M96)/(10-O$93)</f>
        <v>0</v>
      </c>
      <c r="O96" s="768"/>
    </row>
    <row r="97" spans="1:23" x14ac:dyDescent="0.2">
      <c r="B97" s="769" t="str">
        <f>B77</f>
        <v xml:space="preserve">  </v>
      </c>
      <c r="C97" s="771">
        <v>2</v>
      </c>
      <c r="D97" s="772"/>
      <c r="E97" s="772"/>
      <c r="F97" s="772"/>
      <c r="G97" s="772"/>
      <c r="H97" s="772"/>
      <c r="I97" s="772"/>
      <c r="J97" s="772"/>
      <c r="K97" s="772"/>
      <c r="L97" s="772"/>
      <c r="M97" s="772"/>
      <c r="N97" s="773">
        <f>SUM(D97:M97)/(10-O$94)</f>
        <v>0</v>
      </c>
      <c r="O97" s="768"/>
    </row>
    <row r="98" spans="1:23" x14ac:dyDescent="0.2">
      <c r="B98" s="769"/>
      <c r="C98" s="771">
        <v>3</v>
      </c>
      <c r="D98" s="772"/>
      <c r="E98" s="772"/>
      <c r="F98" s="772"/>
      <c r="G98" s="772"/>
      <c r="H98" s="772"/>
      <c r="I98" s="772"/>
      <c r="J98" s="772"/>
      <c r="K98" s="772"/>
      <c r="L98" s="772"/>
      <c r="M98" s="772"/>
      <c r="N98" s="773">
        <f>SUM(D98:M98)/(10-O$95)</f>
        <v>0</v>
      </c>
      <c r="O98" s="768"/>
    </row>
    <row r="99" spans="1:23" ht="13.5" thickBot="1" x14ac:dyDescent="0.25">
      <c r="A99" s="782"/>
      <c r="B99" s="783"/>
      <c r="C99" s="784">
        <v>4</v>
      </c>
      <c r="D99" s="785"/>
      <c r="E99" s="785"/>
      <c r="F99" s="785"/>
      <c r="G99" s="785"/>
      <c r="H99" s="785"/>
      <c r="I99" s="785"/>
      <c r="J99" s="785"/>
      <c r="K99" s="785"/>
      <c r="L99" s="785"/>
      <c r="M99" s="785"/>
      <c r="N99" s="777">
        <f>SUM(D99:M99)/(10-O$96)</f>
        <v>0</v>
      </c>
      <c r="O99" s="768"/>
    </row>
    <row r="100" spans="1:23" ht="8.25" customHeight="1" thickTop="1" x14ac:dyDescent="0.2"/>
    <row r="101" spans="1:23" ht="14.25" customHeight="1" thickBot="1" x14ac:dyDescent="0.3">
      <c r="B101" s="791" t="s">
        <v>688</v>
      </c>
      <c r="C101" s="759"/>
      <c r="D101" s="792" t="s">
        <v>689</v>
      </c>
      <c r="E101" s="759"/>
      <c r="F101" s="793">
        <v>1</v>
      </c>
      <c r="G101" s="794">
        <v>2</v>
      </c>
      <c r="H101" s="794">
        <v>3</v>
      </c>
      <c r="I101" s="794">
        <v>4</v>
      </c>
      <c r="J101" s="795" t="s">
        <v>690</v>
      </c>
      <c r="K101" s="759"/>
    </row>
    <row r="102" spans="1:23" x14ac:dyDescent="0.2">
      <c r="B102" s="757" t="str">
        <f>B10</f>
        <v>Mjöldagg</v>
      </c>
      <c r="C102" s="757" t="str">
        <f>B11</f>
        <v>ERYSGR</v>
      </c>
      <c r="D102" s="757"/>
      <c r="F102" s="796">
        <f>AVERAGE(N10,N30,N60,N80)</f>
        <v>0</v>
      </c>
      <c r="G102" s="796">
        <f>AVERAGE(N11,N31,N61,N81)</f>
        <v>0</v>
      </c>
      <c r="H102" s="796">
        <f>AVERAGE(N12,N32,N62,N82)</f>
        <v>0</v>
      </c>
      <c r="I102" s="796">
        <f>AVERAGE(N13,N33,N63,N83)</f>
        <v>0</v>
      </c>
      <c r="J102" s="797" t="str">
        <f>IF(ISNUMBER(F102),FIXED(F102),"------")</f>
        <v>0.00</v>
      </c>
      <c r="K102" s="797" t="str">
        <f t="shared" ref="K102:M107" si="4">IF(ISNUMBER(G102),FIXED(G102),"------")</f>
        <v>0.00</v>
      </c>
      <c r="L102" s="797" t="str">
        <f t="shared" si="4"/>
        <v>0.00</v>
      </c>
      <c r="M102" s="797" t="str">
        <f t="shared" si="4"/>
        <v>0.00</v>
      </c>
      <c r="N102" s="797" t="str">
        <f>CONCATENATE(J102,"-",K102,"-",L102,"-",M102)</f>
        <v>0.00-0.00-0.00-0.00</v>
      </c>
      <c r="O102" s="768"/>
      <c r="R102" s="753" t="str">
        <f t="shared" ref="R102:R107" si="5">C102</f>
        <v>ERYSGR</v>
      </c>
      <c r="S102" s="753" t="str">
        <f>IF(ISNUMBER(F102),FIXED(F102),"------")</f>
        <v>0.00</v>
      </c>
      <c r="T102" s="753" t="str">
        <f t="shared" ref="T102:V107" si="6">IF(ISNUMBER(G102),FIXED(G102),"------")</f>
        <v>0.00</v>
      </c>
      <c r="U102" s="753" t="str">
        <f t="shared" si="6"/>
        <v>0.00</v>
      </c>
      <c r="V102" s="753" t="str">
        <f t="shared" si="6"/>
        <v>0.00</v>
      </c>
      <c r="W102" s="798" t="str">
        <f>CONCATENATE(S102,"-",T102,"-",U102,"-",V102)</f>
        <v>0.00-0.00-0.00-0.00</v>
      </c>
    </row>
    <row r="103" spans="1:23" x14ac:dyDescent="0.2">
      <c r="B103" s="757" t="str">
        <f>B64</f>
        <v>Kornrost</v>
      </c>
      <c r="C103" s="757" t="str">
        <f>B65</f>
        <v>PUCCHD</v>
      </c>
      <c r="D103" s="757"/>
      <c r="F103" s="796">
        <f>AVERAGE(N14,N34,N64,N84)</f>
        <v>0</v>
      </c>
      <c r="G103" s="796">
        <f>AVERAGE(N15,N35,N65,N85)</f>
        <v>0</v>
      </c>
      <c r="H103" s="796">
        <f>AVERAGE(N16,N36,N66,N86)</f>
        <v>0</v>
      </c>
      <c r="I103" s="796">
        <f>AVERAGE(N17,N37,N67,N87)</f>
        <v>0</v>
      </c>
      <c r="J103" s="797" t="str">
        <f t="shared" ref="J103:J107" si="7">IF(ISNUMBER(F103),FIXED(F103),"------")</f>
        <v>0.00</v>
      </c>
      <c r="K103" s="797" t="str">
        <f t="shared" si="4"/>
        <v>0.00</v>
      </c>
      <c r="L103" s="797" t="str">
        <f t="shared" si="4"/>
        <v>0.00</v>
      </c>
      <c r="M103" s="797" t="str">
        <f t="shared" si="4"/>
        <v>0.00</v>
      </c>
      <c r="N103" s="797" t="str">
        <f t="shared" ref="N103:N107" si="8">CONCATENATE(J103,"-",K103,"-",L103,"-",M103)</f>
        <v>0.00-0.00-0.00-0.00</v>
      </c>
      <c r="O103" s="768"/>
      <c r="R103" s="753" t="str">
        <f t="shared" si="5"/>
        <v>PUCCHD</v>
      </c>
      <c r="S103" s="753" t="str">
        <f t="shared" ref="S103:S107" si="9">IF(ISNUMBER(F103),FIXED(F103),"------")</f>
        <v>0.00</v>
      </c>
      <c r="T103" s="753" t="str">
        <f t="shared" si="6"/>
        <v>0.00</v>
      </c>
      <c r="U103" s="753" t="str">
        <f t="shared" si="6"/>
        <v>0.00</v>
      </c>
      <c r="V103" s="753" t="str">
        <f t="shared" si="6"/>
        <v>0.00</v>
      </c>
      <c r="W103" s="798" t="str">
        <f t="shared" ref="W103:W107" si="10">CONCATENATE(S103,"-",T103,"-",U103,"-",V103)</f>
        <v>0.00-0.00-0.00-0.00</v>
      </c>
    </row>
    <row r="104" spans="1:23" x14ac:dyDescent="0.2">
      <c r="B104" s="757" t="str">
        <f>B68</f>
        <v>Sköldfläcksjuka</v>
      </c>
      <c r="C104" s="757" t="str">
        <f>B69</f>
        <v>RHYNSE</v>
      </c>
      <c r="D104" s="757"/>
      <c r="F104" s="796">
        <f>AVERAGE(N18,N38,N68,N88)</f>
        <v>0</v>
      </c>
      <c r="G104" s="796">
        <f>AVERAGE(N19,N39,N69,N89)</f>
        <v>0</v>
      </c>
      <c r="H104" s="796">
        <f>AVERAGE(N20,N40,N70,N90)</f>
        <v>0</v>
      </c>
      <c r="I104" s="796">
        <f>AVERAGE(N21,N41,N71,N91)</f>
        <v>0</v>
      </c>
      <c r="J104" s="797" t="str">
        <f t="shared" si="7"/>
        <v>0.00</v>
      </c>
      <c r="K104" s="797" t="str">
        <f t="shared" si="4"/>
        <v>0.00</v>
      </c>
      <c r="L104" s="797" t="str">
        <f t="shared" si="4"/>
        <v>0.00</v>
      </c>
      <c r="M104" s="797" t="str">
        <f t="shared" si="4"/>
        <v>0.00</v>
      </c>
      <c r="N104" s="797" t="str">
        <f t="shared" si="8"/>
        <v>0.00-0.00-0.00-0.00</v>
      </c>
      <c r="O104" s="768"/>
      <c r="R104" s="753" t="str">
        <f t="shared" si="5"/>
        <v>RHYNSE</v>
      </c>
      <c r="S104" s="753" t="str">
        <f t="shared" si="9"/>
        <v>0.00</v>
      </c>
      <c r="T104" s="753" t="str">
        <f t="shared" si="6"/>
        <v>0.00</v>
      </c>
      <c r="U104" s="753" t="str">
        <f t="shared" si="6"/>
        <v>0.00</v>
      </c>
      <c r="V104" s="753" t="str">
        <f t="shared" si="6"/>
        <v>0.00</v>
      </c>
      <c r="W104" s="798" t="str">
        <f t="shared" si="10"/>
        <v>0.00-0.00-0.00-0.00</v>
      </c>
    </row>
    <row r="105" spans="1:23" x14ac:dyDescent="0.2">
      <c r="B105" s="757" t="str">
        <f>B72</f>
        <v>Bladfläcksjuka</v>
      </c>
      <c r="C105" s="757" t="str">
        <f>B73</f>
        <v>PYRNTE</v>
      </c>
      <c r="D105" s="757"/>
      <c r="F105" s="796">
        <f>AVERAGE(N22,N42,N72,N92)</f>
        <v>0</v>
      </c>
      <c r="G105" s="796">
        <f>AVERAGE(N23,N43,N73,N93)</f>
        <v>0</v>
      </c>
      <c r="H105" s="796">
        <f>AVERAGE(N24,N44,N74,N94)</f>
        <v>0</v>
      </c>
      <c r="I105" s="796">
        <f>AVERAGE(N25,N45,N75,N95)</f>
        <v>0</v>
      </c>
      <c r="J105" s="797" t="str">
        <f t="shared" si="7"/>
        <v>0.00</v>
      </c>
      <c r="K105" s="797" t="str">
        <f t="shared" si="4"/>
        <v>0.00</v>
      </c>
      <c r="L105" s="797" t="str">
        <f t="shared" si="4"/>
        <v>0.00</v>
      </c>
      <c r="M105" s="797" t="str">
        <f t="shared" si="4"/>
        <v>0.00</v>
      </c>
      <c r="N105" s="797" t="str">
        <f t="shared" si="8"/>
        <v>0.00-0.00-0.00-0.00</v>
      </c>
      <c r="O105" s="768"/>
      <c r="R105" s="753" t="str">
        <f t="shared" si="5"/>
        <v>PYRNTE</v>
      </c>
      <c r="S105" s="753" t="str">
        <f t="shared" si="9"/>
        <v>0.00</v>
      </c>
      <c r="T105" s="753" t="str">
        <f t="shared" si="6"/>
        <v>0.00</v>
      </c>
      <c r="U105" s="753" t="str">
        <f t="shared" si="6"/>
        <v>0.00</v>
      </c>
      <c r="V105" s="753" t="str">
        <f t="shared" si="6"/>
        <v>0.00</v>
      </c>
      <c r="W105" s="798" t="str">
        <f t="shared" si="10"/>
        <v>0.00-0.00-0.00-0.00</v>
      </c>
    </row>
    <row r="106" spans="1:23" x14ac:dyDescent="0.2">
      <c r="B106" s="757" t="str">
        <f>B76</f>
        <v xml:space="preserve">  </v>
      </c>
      <c r="C106" s="757" t="str">
        <f>B77</f>
        <v xml:space="preserve">  </v>
      </c>
      <c r="D106" s="757"/>
      <c r="F106" s="796">
        <f>AVERAGE(N26,N46,N76,N96)</f>
        <v>0</v>
      </c>
      <c r="G106" s="796">
        <f>AVERAGE(N27,N47,N77,N97)</f>
        <v>0</v>
      </c>
      <c r="H106" s="796">
        <f>AVERAGE(N28,N48,N78,N98)</f>
        <v>0</v>
      </c>
      <c r="I106" s="796">
        <f>AVERAGE(N29,N49,N79,N99)</f>
        <v>0</v>
      </c>
      <c r="J106" s="797" t="str">
        <f t="shared" si="7"/>
        <v>0.00</v>
      </c>
      <c r="K106" s="797" t="str">
        <f t="shared" si="4"/>
        <v>0.00</v>
      </c>
      <c r="L106" s="797" t="str">
        <f t="shared" si="4"/>
        <v>0.00</v>
      </c>
      <c r="M106" s="797" t="str">
        <f t="shared" si="4"/>
        <v>0.00</v>
      </c>
      <c r="N106" s="797" t="str">
        <f t="shared" si="8"/>
        <v>0.00-0.00-0.00-0.00</v>
      </c>
      <c r="O106" s="768"/>
      <c r="R106" s="753" t="str">
        <f t="shared" si="5"/>
        <v xml:space="preserve">  </v>
      </c>
      <c r="S106" s="753" t="str">
        <f t="shared" si="9"/>
        <v>0.00</v>
      </c>
      <c r="T106" s="753" t="str">
        <f t="shared" si="6"/>
        <v>0.00</v>
      </c>
      <c r="U106" s="753" t="str">
        <f t="shared" si="6"/>
        <v>0.00</v>
      </c>
      <c r="V106" s="753" t="str">
        <f t="shared" si="6"/>
        <v>0.00</v>
      </c>
      <c r="W106" s="798" t="str">
        <f t="shared" si="10"/>
        <v>0.00-0.00-0.00-0.00</v>
      </c>
    </row>
    <row r="107" spans="1:23" x14ac:dyDescent="0.2">
      <c r="B107" s="757" t="s">
        <v>691</v>
      </c>
      <c r="C107" s="753" t="str">
        <f>B107</f>
        <v>Andel vissna</v>
      </c>
      <c r="F107" s="796">
        <f>10*AVERAGE(O22,O42,O72,O92)</f>
        <v>0</v>
      </c>
      <c r="G107" s="796">
        <f>10*AVERAGE(O23,O43,O73,O93)</f>
        <v>0</v>
      </c>
      <c r="H107" s="796">
        <f>10*AVERAGE(O24,O44,O74,O94)</f>
        <v>0</v>
      </c>
      <c r="I107" s="796">
        <f>10*AVERAGE(O25,O45,O75,O95)</f>
        <v>0</v>
      </c>
      <c r="J107" s="797" t="str">
        <f t="shared" si="7"/>
        <v>0.00</v>
      </c>
      <c r="K107" s="797" t="str">
        <f t="shared" si="4"/>
        <v>0.00</v>
      </c>
      <c r="L107" s="797" t="str">
        <f t="shared" si="4"/>
        <v>0.00</v>
      </c>
      <c r="M107" s="797" t="str">
        <f t="shared" si="4"/>
        <v>0.00</v>
      </c>
      <c r="N107" s="797" t="str">
        <f t="shared" si="8"/>
        <v>0.00-0.00-0.00-0.00</v>
      </c>
      <c r="O107" s="768"/>
      <c r="R107" s="753" t="str">
        <f t="shared" si="5"/>
        <v>Andel vissna</v>
      </c>
      <c r="S107" s="753" t="str">
        <f t="shared" si="9"/>
        <v>0.00</v>
      </c>
      <c r="T107" s="753" t="str">
        <f t="shared" si="6"/>
        <v>0.00</v>
      </c>
      <c r="U107" s="753" t="str">
        <f t="shared" si="6"/>
        <v>0.00</v>
      </c>
      <c r="V107" s="753" t="str">
        <f t="shared" si="6"/>
        <v>0.00</v>
      </c>
      <c r="W107" s="798" t="str">
        <f t="shared" si="10"/>
        <v>0.00-0.00-0.00-0.00</v>
      </c>
    </row>
  </sheetData>
  <sheetProtection sheet="1" objects="1" scenarios="1"/>
  <mergeCells count="29">
    <mergeCell ref="D7:N7"/>
    <mergeCell ref="C3:E3"/>
    <mergeCell ref="A5:B5"/>
    <mergeCell ref="C5:E5"/>
    <mergeCell ref="F5:H5"/>
    <mergeCell ref="I5:L5"/>
    <mergeCell ref="M5:N5"/>
    <mergeCell ref="A6:B6"/>
    <mergeCell ref="C6:E6"/>
    <mergeCell ref="F6:H6"/>
    <mergeCell ref="I6:L6"/>
    <mergeCell ref="M6:N6"/>
    <mergeCell ref="D8:M8"/>
    <mergeCell ref="A12:A13"/>
    <mergeCell ref="A32:A33"/>
    <mergeCell ref="A55:B55"/>
    <mergeCell ref="C55:E55"/>
    <mergeCell ref="F55:H55"/>
    <mergeCell ref="I55:L55"/>
    <mergeCell ref="M55:N55"/>
    <mergeCell ref="D58:M58"/>
    <mergeCell ref="A62:A63"/>
    <mergeCell ref="A82:A83"/>
    <mergeCell ref="A56:B56"/>
    <mergeCell ref="C56:E56"/>
    <mergeCell ref="F56:H56"/>
    <mergeCell ref="I56:L56"/>
    <mergeCell ref="M56:N56"/>
    <mergeCell ref="D57:N57"/>
  </mergeCells>
  <conditionalFormatting sqref="F102:I107">
    <cfRule type="containsErrors" dxfId="92" priority="36">
      <formula>ISERROR(F102)</formula>
    </cfRule>
  </conditionalFormatting>
  <conditionalFormatting sqref="N10:N49">
    <cfRule type="expression" dxfId="91" priority="25">
      <formula>IF(OR(ISNUMBER(D10),ISTEXT(D10)),1,0)</formula>
    </cfRule>
    <cfRule type="containsErrors" dxfId="90" priority="26">
      <formula>ISERROR(N10)</formula>
    </cfRule>
  </conditionalFormatting>
  <conditionalFormatting sqref="O22:O25">
    <cfRule type="expression" dxfId="89" priority="24">
      <formula>IF(OR(ISNUMBER(D22),ISTEXT(D22)),1,0)</formula>
    </cfRule>
  </conditionalFormatting>
  <conditionalFormatting sqref="O42:O45">
    <cfRule type="expression" dxfId="88" priority="23">
      <formula>IF(OR(ISNUMBER(D42),ISTEXT(D42)),1,0)</formula>
    </cfRule>
  </conditionalFormatting>
  <conditionalFormatting sqref="O72:O75">
    <cfRule type="expression" dxfId="87" priority="22">
      <formula>IF(OR(ISNUMBER(D72),ISTEXT(D72)),1,0)</formula>
    </cfRule>
  </conditionalFormatting>
  <conditionalFormatting sqref="O92:O95">
    <cfRule type="expression" dxfId="86" priority="21">
      <formula>IF(OR(ISNUMBER(D92),ISTEXT(D92)),1,0)</formula>
    </cfRule>
  </conditionalFormatting>
  <conditionalFormatting sqref="N60:N63">
    <cfRule type="expression" dxfId="85" priority="19">
      <formula>IF(OR(ISNUMBER(D60),ISTEXT(D60)),1,0)</formula>
    </cfRule>
    <cfRule type="containsErrors" dxfId="84" priority="20">
      <formula>ISERROR(N60)</formula>
    </cfRule>
  </conditionalFormatting>
  <conditionalFormatting sqref="N64:N67">
    <cfRule type="expression" dxfId="83" priority="17">
      <formula>IF(OR(ISNUMBER(D64),ISTEXT(D64)),1,0)</formula>
    </cfRule>
    <cfRule type="containsErrors" dxfId="82" priority="18">
      <formula>ISERROR(N64)</formula>
    </cfRule>
  </conditionalFormatting>
  <conditionalFormatting sqref="N68:N71">
    <cfRule type="expression" dxfId="81" priority="15">
      <formula>IF(OR(ISNUMBER(D68),ISTEXT(D68)),1,0)</formula>
    </cfRule>
    <cfRule type="containsErrors" dxfId="80" priority="16">
      <formula>ISERROR(N68)</formula>
    </cfRule>
  </conditionalFormatting>
  <conditionalFormatting sqref="N72:N75">
    <cfRule type="expression" dxfId="79" priority="13">
      <formula>IF(OR(ISNUMBER(D72),ISTEXT(D72)),1,0)</formula>
    </cfRule>
    <cfRule type="containsErrors" dxfId="78" priority="14">
      <formula>ISERROR(N72)</formula>
    </cfRule>
  </conditionalFormatting>
  <conditionalFormatting sqref="N76:N79">
    <cfRule type="expression" dxfId="77" priority="11">
      <formula>IF(OR(ISNUMBER(D76),ISTEXT(D76)),1,0)</formula>
    </cfRule>
    <cfRule type="containsErrors" dxfId="76" priority="12">
      <formula>ISERROR(N76)</formula>
    </cfRule>
  </conditionalFormatting>
  <conditionalFormatting sqref="N92:N95">
    <cfRule type="expression" dxfId="75" priority="9">
      <formula>IF(OR(ISNUMBER(D92),ISTEXT(D92)),1,0)</formula>
    </cfRule>
    <cfRule type="containsErrors" dxfId="74" priority="10">
      <formula>ISERROR(N92)</formula>
    </cfRule>
  </conditionalFormatting>
  <conditionalFormatting sqref="N80:N83">
    <cfRule type="expression" dxfId="73" priority="7">
      <formula>IF(OR(ISNUMBER(D80),ISTEXT(D80)),1,0)</formula>
    </cfRule>
    <cfRule type="containsErrors" dxfId="72" priority="8">
      <formula>ISERROR(N80)</formula>
    </cfRule>
  </conditionalFormatting>
  <conditionalFormatting sqref="N84:N87">
    <cfRule type="expression" dxfId="71" priority="5">
      <formula>IF(OR(ISNUMBER(D84),ISTEXT(D84)),1,0)</formula>
    </cfRule>
    <cfRule type="containsErrors" dxfId="70" priority="6">
      <formula>ISERROR(N84)</formula>
    </cfRule>
  </conditionalFormatting>
  <conditionalFormatting sqref="N88:N91">
    <cfRule type="expression" dxfId="69" priority="3">
      <formula>IF(OR(ISNUMBER(D88),ISTEXT(D88)),1,0)</formula>
    </cfRule>
    <cfRule type="containsErrors" dxfId="68" priority="4">
      <formula>ISERROR(N88)</formula>
    </cfRule>
  </conditionalFormatting>
  <conditionalFormatting sqref="N96:N99">
    <cfRule type="expression" dxfId="67" priority="1">
      <formula>IF(OR(ISNUMBER(D96),ISTEXT(D96)),1,0)</formula>
    </cfRule>
    <cfRule type="containsErrors" dxfId="66" priority="2">
      <formula>ISERROR(N96)</formula>
    </cfRule>
  </conditionalFormatting>
  <dataValidations count="1">
    <dataValidation type="list" allowBlank="1" showInputMessage="1" showErrorMessage="1" sqref="WVK983043:WVM983043 IY3:JA3 SU3:SW3 ACQ3:ACS3 AMM3:AMO3 AWI3:AWK3 BGE3:BGG3 BQA3:BQC3 BZW3:BZY3 CJS3:CJU3 CTO3:CTQ3 DDK3:DDM3 DNG3:DNI3 DXC3:DXE3 EGY3:EHA3 EQU3:EQW3 FAQ3:FAS3 FKM3:FKO3 FUI3:FUK3 GEE3:GEG3 GOA3:GOC3 GXW3:GXY3 HHS3:HHU3 HRO3:HRQ3 IBK3:IBM3 ILG3:ILI3 IVC3:IVE3 JEY3:JFA3 JOU3:JOW3 JYQ3:JYS3 KIM3:KIO3 KSI3:KSK3 LCE3:LCG3 LMA3:LMC3 LVW3:LVY3 MFS3:MFU3 MPO3:MPQ3 MZK3:MZM3 NJG3:NJI3 NTC3:NTE3 OCY3:ODA3 OMU3:OMW3 OWQ3:OWS3 PGM3:PGO3 PQI3:PQK3 QAE3:QAG3 QKA3:QKC3 QTW3:QTY3 RDS3:RDU3 RNO3:RNQ3 RXK3:RXM3 SHG3:SHI3 SRC3:SRE3 TAY3:TBA3 TKU3:TKW3 TUQ3:TUS3 UEM3:UEO3 UOI3:UOK3 UYE3:UYG3 VIA3:VIC3 VRW3:VRY3 WBS3:WBU3 WLO3:WLQ3 WVK3:WVM3 C65539:E65539 IY65539:JA65539 SU65539:SW65539 ACQ65539:ACS65539 AMM65539:AMO65539 AWI65539:AWK65539 BGE65539:BGG65539 BQA65539:BQC65539 BZW65539:BZY65539 CJS65539:CJU65539 CTO65539:CTQ65539 DDK65539:DDM65539 DNG65539:DNI65539 DXC65539:DXE65539 EGY65539:EHA65539 EQU65539:EQW65539 FAQ65539:FAS65539 FKM65539:FKO65539 FUI65539:FUK65539 GEE65539:GEG65539 GOA65539:GOC65539 GXW65539:GXY65539 HHS65539:HHU65539 HRO65539:HRQ65539 IBK65539:IBM65539 ILG65539:ILI65539 IVC65539:IVE65539 JEY65539:JFA65539 JOU65539:JOW65539 JYQ65539:JYS65539 KIM65539:KIO65539 KSI65539:KSK65539 LCE65539:LCG65539 LMA65539:LMC65539 LVW65539:LVY65539 MFS65539:MFU65539 MPO65539:MPQ65539 MZK65539:MZM65539 NJG65539:NJI65539 NTC65539:NTE65539 OCY65539:ODA65539 OMU65539:OMW65539 OWQ65539:OWS65539 PGM65539:PGO65539 PQI65539:PQK65539 QAE65539:QAG65539 QKA65539:QKC65539 QTW65539:QTY65539 RDS65539:RDU65539 RNO65539:RNQ65539 RXK65539:RXM65539 SHG65539:SHI65539 SRC65539:SRE65539 TAY65539:TBA65539 TKU65539:TKW65539 TUQ65539:TUS65539 UEM65539:UEO65539 UOI65539:UOK65539 UYE65539:UYG65539 VIA65539:VIC65539 VRW65539:VRY65539 WBS65539:WBU65539 WLO65539:WLQ65539 WVK65539:WVM65539 C131075:E131075 IY131075:JA131075 SU131075:SW131075 ACQ131075:ACS131075 AMM131075:AMO131075 AWI131075:AWK131075 BGE131075:BGG131075 BQA131075:BQC131075 BZW131075:BZY131075 CJS131075:CJU131075 CTO131075:CTQ131075 DDK131075:DDM131075 DNG131075:DNI131075 DXC131075:DXE131075 EGY131075:EHA131075 EQU131075:EQW131075 FAQ131075:FAS131075 FKM131075:FKO131075 FUI131075:FUK131075 GEE131075:GEG131075 GOA131075:GOC131075 GXW131075:GXY131075 HHS131075:HHU131075 HRO131075:HRQ131075 IBK131075:IBM131075 ILG131075:ILI131075 IVC131075:IVE131075 JEY131075:JFA131075 JOU131075:JOW131075 JYQ131075:JYS131075 KIM131075:KIO131075 KSI131075:KSK131075 LCE131075:LCG131075 LMA131075:LMC131075 LVW131075:LVY131075 MFS131075:MFU131075 MPO131075:MPQ131075 MZK131075:MZM131075 NJG131075:NJI131075 NTC131075:NTE131075 OCY131075:ODA131075 OMU131075:OMW131075 OWQ131075:OWS131075 PGM131075:PGO131075 PQI131075:PQK131075 QAE131075:QAG131075 QKA131075:QKC131075 QTW131075:QTY131075 RDS131075:RDU131075 RNO131075:RNQ131075 RXK131075:RXM131075 SHG131075:SHI131075 SRC131075:SRE131075 TAY131075:TBA131075 TKU131075:TKW131075 TUQ131075:TUS131075 UEM131075:UEO131075 UOI131075:UOK131075 UYE131075:UYG131075 VIA131075:VIC131075 VRW131075:VRY131075 WBS131075:WBU131075 WLO131075:WLQ131075 WVK131075:WVM131075 C196611:E196611 IY196611:JA196611 SU196611:SW196611 ACQ196611:ACS196611 AMM196611:AMO196611 AWI196611:AWK196611 BGE196611:BGG196611 BQA196611:BQC196611 BZW196611:BZY196611 CJS196611:CJU196611 CTO196611:CTQ196611 DDK196611:DDM196611 DNG196611:DNI196611 DXC196611:DXE196611 EGY196611:EHA196611 EQU196611:EQW196611 FAQ196611:FAS196611 FKM196611:FKO196611 FUI196611:FUK196611 GEE196611:GEG196611 GOA196611:GOC196611 GXW196611:GXY196611 HHS196611:HHU196611 HRO196611:HRQ196611 IBK196611:IBM196611 ILG196611:ILI196611 IVC196611:IVE196611 JEY196611:JFA196611 JOU196611:JOW196611 JYQ196611:JYS196611 KIM196611:KIO196611 KSI196611:KSK196611 LCE196611:LCG196611 LMA196611:LMC196611 LVW196611:LVY196611 MFS196611:MFU196611 MPO196611:MPQ196611 MZK196611:MZM196611 NJG196611:NJI196611 NTC196611:NTE196611 OCY196611:ODA196611 OMU196611:OMW196611 OWQ196611:OWS196611 PGM196611:PGO196611 PQI196611:PQK196611 QAE196611:QAG196611 QKA196611:QKC196611 QTW196611:QTY196611 RDS196611:RDU196611 RNO196611:RNQ196611 RXK196611:RXM196611 SHG196611:SHI196611 SRC196611:SRE196611 TAY196611:TBA196611 TKU196611:TKW196611 TUQ196611:TUS196611 UEM196611:UEO196611 UOI196611:UOK196611 UYE196611:UYG196611 VIA196611:VIC196611 VRW196611:VRY196611 WBS196611:WBU196611 WLO196611:WLQ196611 WVK196611:WVM196611 C262147:E262147 IY262147:JA262147 SU262147:SW262147 ACQ262147:ACS262147 AMM262147:AMO262147 AWI262147:AWK262147 BGE262147:BGG262147 BQA262147:BQC262147 BZW262147:BZY262147 CJS262147:CJU262147 CTO262147:CTQ262147 DDK262147:DDM262147 DNG262147:DNI262147 DXC262147:DXE262147 EGY262147:EHA262147 EQU262147:EQW262147 FAQ262147:FAS262147 FKM262147:FKO262147 FUI262147:FUK262147 GEE262147:GEG262147 GOA262147:GOC262147 GXW262147:GXY262147 HHS262147:HHU262147 HRO262147:HRQ262147 IBK262147:IBM262147 ILG262147:ILI262147 IVC262147:IVE262147 JEY262147:JFA262147 JOU262147:JOW262147 JYQ262147:JYS262147 KIM262147:KIO262147 KSI262147:KSK262147 LCE262147:LCG262147 LMA262147:LMC262147 LVW262147:LVY262147 MFS262147:MFU262147 MPO262147:MPQ262147 MZK262147:MZM262147 NJG262147:NJI262147 NTC262147:NTE262147 OCY262147:ODA262147 OMU262147:OMW262147 OWQ262147:OWS262147 PGM262147:PGO262147 PQI262147:PQK262147 QAE262147:QAG262147 QKA262147:QKC262147 QTW262147:QTY262147 RDS262147:RDU262147 RNO262147:RNQ262147 RXK262147:RXM262147 SHG262147:SHI262147 SRC262147:SRE262147 TAY262147:TBA262147 TKU262147:TKW262147 TUQ262147:TUS262147 UEM262147:UEO262147 UOI262147:UOK262147 UYE262147:UYG262147 VIA262147:VIC262147 VRW262147:VRY262147 WBS262147:WBU262147 WLO262147:WLQ262147 WVK262147:WVM262147 C327683:E327683 IY327683:JA327683 SU327683:SW327683 ACQ327683:ACS327683 AMM327683:AMO327683 AWI327683:AWK327683 BGE327683:BGG327683 BQA327683:BQC327683 BZW327683:BZY327683 CJS327683:CJU327683 CTO327683:CTQ327683 DDK327683:DDM327683 DNG327683:DNI327683 DXC327683:DXE327683 EGY327683:EHA327683 EQU327683:EQW327683 FAQ327683:FAS327683 FKM327683:FKO327683 FUI327683:FUK327683 GEE327683:GEG327683 GOA327683:GOC327683 GXW327683:GXY327683 HHS327683:HHU327683 HRO327683:HRQ327683 IBK327683:IBM327683 ILG327683:ILI327683 IVC327683:IVE327683 JEY327683:JFA327683 JOU327683:JOW327683 JYQ327683:JYS327683 KIM327683:KIO327683 KSI327683:KSK327683 LCE327683:LCG327683 LMA327683:LMC327683 LVW327683:LVY327683 MFS327683:MFU327683 MPO327683:MPQ327683 MZK327683:MZM327683 NJG327683:NJI327683 NTC327683:NTE327683 OCY327683:ODA327683 OMU327683:OMW327683 OWQ327683:OWS327683 PGM327683:PGO327683 PQI327683:PQK327683 QAE327683:QAG327683 QKA327683:QKC327683 QTW327683:QTY327683 RDS327683:RDU327683 RNO327683:RNQ327683 RXK327683:RXM327683 SHG327683:SHI327683 SRC327683:SRE327683 TAY327683:TBA327683 TKU327683:TKW327683 TUQ327683:TUS327683 UEM327683:UEO327683 UOI327683:UOK327683 UYE327683:UYG327683 VIA327683:VIC327683 VRW327683:VRY327683 WBS327683:WBU327683 WLO327683:WLQ327683 WVK327683:WVM327683 C393219:E393219 IY393219:JA393219 SU393219:SW393219 ACQ393219:ACS393219 AMM393219:AMO393219 AWI393219:AWK393219 BGE393219:BGG393219 BQA393219:BQC393219 BZW393219:BZY393219 CJS393219:CJU393219 CTO393219:CTQ393219 DDK393219:DDM393219 DNG393219:DNI393219 DXC393219:DXE393219 EGY393219:EHA393219 EQU393219:EQW393219 FAQ393219:FAS393219 FKM393219:FKO393219 FUI393219:FUK393219 GEE393219:GEG393219 GOA393219:GOC393219 GXW393219:GXY393219 HHS393219:HHU393219 HRO393219:HRQ393219 IBK393219:IBM393219 ILG393219:ILI393219 IVC393219:IVE393219 JEY393219:JFA393219 JOU393219:JOW393219 JYQ393219:JYS393219 KIM393219:KIO393219 KSI393219:KSK393219 LCE393219:LCG393219 LMA393219:LMC393219 LVW393219:LVY393219 MFS393219:MFU393219 MPO393219:MPQ393219 MZK393219:MZM393219 NJG393219:NJI393219 NTC393219:NTE393219 OCY393219:ODA393219 OMU393219:OMW393219 OWQ393219:OWS393219 PGM393219:PGO393219 PQI393219:PQK393219 QAE393219:QAG393219 QKA393219:QKC393219 QTW393219:QTY393219 RDS393219:RDU393219 RNO393219:RNQ393219 RXK393219:RXM393219 SHG393219:SHI393219 SRC393219:SRE393219 TAY393219:TBA393219 TKU393219:TKW393219 TUQ393219:TUS393219 UEM393219:UEO393219 UOI393219:UOK393219 UYE393219:UYG393219 VIA393219:VIC393219 VRW393219:VRY393219 WBS393219:WBU393219 WLO393219:WLQ393219 WVK393219:WVM393219 C458755:E458755 IY458755:JA458755 SU458755:SW458755 ACQ458755:ACS458755 AMM458755:AMO458755 AWI458755:AWK458755 BGE458755:BGG458755 BQA458755:BQC458755 BZW458755:BZY458755 CJS458755:CJU458755 CTO458755:CTQ458755 DDK458755:DDM458755 DNG458755:DNI458755 DXC458755:DXE458755 EGY458755:EHA458755 EQU458755:EQW458755 FAQ458755:FAS458755 FKM458755:FKO458755 FUI458755:FUK458755 GEE458755:GEG458755 GOA458755:GOC458755 GXW458755:GXY458755 HHS458755:HHU458755 HRO458755:HRQ458755 IBK458755:IBM458755 ILG458755:ILI458755 IVC458755:IVE458755 JEY458755:JFA458755 JOU458755:JOW458755 JYQ458755:JYS458755 KIM458755:KIO458755 KSI458755:KSK458755 LCE458755:LCG458755 LMA458755:LMC458755 LVW458755:LVY458755 MFS458755:MFU458755 MPO458755:MPQ458755 MZK458755:MZM458755 NJG458755:NJI458755 NTC458755:NTE458755 OCY458755:ODA458755 OMU458755:OMW458755 OWQ458755:OWS458755 PGM458755:PGO458755 PQI458755:PQK458755 QAE458755:QAG458755 QKA458755:QKC458755 QTW458755:QTY458755 RDS458755:RDU458755 RNO458755:RNQ458755 RXK458755:RXM458755 SHG458755:SHI458755 SRC458755:SRE458755 TAY458755:TBA458755 TKU458755:TKW458755 TUQ458755:TUS458755 UEM458755:UEO458755 UOI458755:UOK458755 UYE458755:UYG458755 VIA458755:VIC458755 VRW458755:VRY458755 WBS458755:WBU458755 WLO458755:WLQ458755 WVK458755:WVM458755 C524291:E524291 IY524291:JA524291 SU524291:SW524291 ACQ524291:ACS524291 AMM524291:AMO524291 AWI524291:AWK524291 BGE524291:BGG524291 BQA524291:BQC524291 BZW524291:BZY524291 CJS524291:CJU524291 CTO524291:CTQ524291 DDK524291:DDM524291 DNG524291:DNI524291 DXC524291:DXE524291 EGY524291:EHA524291 EQU524291:EQW524291 FAQ524291:FAS524291 FKM524291:FKO524291 FUI524291:FUK524291 GEE524291:GEG524291 GOA524291:GOC524291 GXW524291:GXY524291 HHS524291:HHU524291 HRO524291:HRQ524291 IBK524291:IBM524291 ILG524291:ILI524291 IVC524291:IVE524291 JEY524291:JFA524291 JOU524291:JOW524291 JYQ524291:JYS524291 KIM524291:KIO524291 KSI524291:KSK524291 LCE524291:LCG524291 LMA524291:LMC524291 LVW524291:LVY524291 MFS524291:MFU524291 MPO524291:MPQ524291 MZK524291:MZM524291 NJG524291:NJI524291 NTC524291:NTE524291 OCY524291:ODA524291 OMU524291:OMW524291 OWQ524291:OWS524291 PGM524291:PGO524291 PQI524291:PQK524291 QAE524291:QAG524291 QKA524291:QKC524291 QTW524291:QTY524291 RDS524291:RDU524291 RNO524291:RNQ524291 RXK524291:RXM524291 SHG524291:SHI524291 SRC524291:SRE524291 TAY524291:TBA524291 TKU524291:TKW524291 TUQ524291:TUS524291 UEM524291:UEO524291 UOI524291:UOK524291 UYE524291:UYG524291 VIA524291:VIC524291 VRW524291:VRY524291 WBS524291:WBU524291 WLO524291:WLQ524291 WVK524291:WVM524291 C589827:E589827 IY589827:JA589827 SU589827:SW589827 ACQ589827:ACS589827 AMM589827:AMO589827 AWI589827:AWK589827 BGE589827:BGG589827 BQA589827:BQC589827 BZW589827:BZY589827 CJS589827:CJU589827 CTO589827:CTQ589827 DDK589827:DDM589827 DNG589827:DNI589827 DXC589827:DXE589827 EGY589827:EHA589827 EQU589827:EQW589827 FAQ589827:FAS589827 FKM589827:FKO589827 FUI589827:FUK589827 GEE589827:GEG589827 GOA589827:GOC589827 GXW589827:GXY589827 HHS589827:HHU589827 HRO589827:HRQ589827 IBK589827:IBM589827 ILG589827:ILI589827 IVC589827:IVE589827 JEY589827:JFA589827 JOU589827:JOW589827 JYQ589827:JYS589827 KIM589827:KIO589827 KSI589827:KSK589827 LCE589827:LCG589827 LMA589827:LMC589827 LVW589827:LVY589827 MFS589827:MFU589827 MPO589827:MPQ589827 MZK589827:MZM589827 NJG589827:NJI589827 NTC589827:NTE589827 OCY589827:ODA589827 OMU589827:OMW589827 OWQ589827:OWS589827 PGM589827:PGO589827 PQI589827:PQK589827 QAE589827:QAG589827 QKA589827:QKC589827 QTW589827:QTY589827 RDS589827:RDU589827 RNO589827:RNQ589827 RXK589827:RXM589827 SHG589827:SHI589827 SRC589827:SRE589827 TAY589827:TBA589827 TKU589827:TKW589827 TUQ589827:TUS589827 UEM589827:UEO589827 UOI589827:UOK589827 UYE589827:UYG589827 VIA589827:VIC589827 VRW589827:VRY589827 WBS589827:WBU589827 WLO589827:WLQ589827 WVK589827:WVM589827 C655363:E655363 IY655363:JA655363 SU655363:SW655363 ACQ655363:ACS655363 AMM655363:AMO655363 AWI655363:AWK655363 BGE655363:BGG655363 BQA655363:BQC655363 BZW655363:BZY655363 CJS655363:CJU655363 CTO655363:CTQ655363 DDK655363:DDM655363 DNG655363:DNI655363 DXC655363:DXE655363 EGY655363:EHA655363 EQU655363:EQW655363 FAQ655363:FAS655363 FKM655363:FKO655363 FUI655363:FUK655363 GEE655363:GEG655363 GOA655363:GOC655363 GXW655363:GXY655363 HHS655363:HHU655363 HRO655363:HRQ655363 IBK655363:IBM655363 ILG655363:ILI655363 IVC655363:IVE655363 JEY655363:JFA655363 JOU655363:JOW655363 JYQ655363:JYS655363 KIM655363:KIO655363 KSI655363:KSK655363 LCE655363:LCG655363 LMA655363:LMC655363 LVW655363:LVY655363 MFS655363:MFU655363 MPO655363:MPQ655363 MZK655363:MZM655363 NJG655363:NJI655363 NTC655363:NTE655363 OCY655363:ODA655363 OMU655363:OMW655363 OWQ655363:OWS655363 PGM655363:PGO655363 PQI655363:PQK655363 QAE655363:QAG655363 QKA655363:QKC655363 QTW655363:QTY655363 RDS655363:RDU655363 RNO655363:RNQ655363 RXK655363:RXM655363 SHG655363:SHI655363 SRC655363:SRE655363 TAY655363:TBA655363 TKU655363:TKW655363 TUQ655363:TUS655363 UEM655363:UEO655363 UOI655363:UOK655363 UYE655363:UYG655363 VIA655363:VIC655363 VRW655363:VRY655363 WBS655363:WBU655363 WLO655363:WLQ655363 WVK655363:WVM655363 C720899:E720899 IY720899:JA720899 SU720899:SW720899 ACQ720899:ACS720899 AMM720899:AMO720899 AWI720899:AWK720899 BGE720899:BGG720899 BQA720899:BQC720899 BZW720899:BZY720899 CJS720899:CJU720899 CTO720899:CTQ720899 DDK720899:DDM720899 DNG720899:DNI720899 DXC720899:DXE720899 EGY720899:EHA720899 EQU720899:EQW720899 FAQ720899:FAS720899 FKM720899:FKO720899 FUI720899:FUK720899 GEE720899:GEG720899 GOA720899:GOC720899 GXW720899:GXY720899 HHS720899:HHU720899 HRO720899:HRQ720899 IBK720899:IBM720899 ILG720899:ILI720899 IVC720899:IVE720899 JEY720899:JFA720899 JOU720899:JOW720899 JYQ720899:JYS720899 KIM720899:KIO720899 KSI720899:KSK720899 LCE720899:LCG720899 LMA720899:LMC720899 LVW720899:LVY720899 MFS720899:MFU720899 MPO720899:MPQ720899 MZK720899:MZM720899 NJG720899:NJI720899 NTC720899:NTE720899 OCY720899:ODA720899 OMU720899:OMW720899 OWQ720899:OWS720899 PGM720899:PGO720899 PQI720899:PQK720899 QAE720899:QAG720899 QKA720899:QKC720899 QTW720899:QTY720899 RDS720899:RDU720899 RNO720899:RNQ720899 RXK720899:RXM720899 SHG720899:SHI720899 SRC720899:SRE720899 TAY720899:TBA720899 TKU720899:TKW720899 TUQ720899:TUS720899 UEM720899:UEO720899 UOI720899:UOK720899 UYE720899:UYG720899 VIA720899:VIC720899 VRW720899:VRY720899 WBS720899:WBU720899 WLO720899:WLQ720899 WVK720899:WVM720899 C786435:E786435 IY786435:JA786435 SU786435:SW786435 ACQ786435:ACS786435 AMM786435:AMO786435 AWI786435:AWK786435 BGE786435:BGG786435 BQA786435:BQC786435 BZW786435:BZY786435 CJS786435:CJU786435 CTO786435:CTQ786435 DDK786435:DDM786435 DNG786435:DNI786435 DXC786435:DXE786435 EGY786435:EHA786435 EQU786435:EQW786435 FAQ786435:FAS786435 FKM786435:FKO786435 FUI786435:FUK786435 GEE786435:GEG786435 GOA786435:GOC786435 GXW786435:GXY786435 HHS786435:HHU786435 HRO786435:HRQ786435 IBK786435:IBM786435 ILG786435:ILI786435 IVC786435:IVE786435 JEY786435:JFA786435 JOU786435:JOW786435 JYQ786435:JYS786435 KIM786435:KIO786435 KSI786435:KSK786435 LCE786435:LCG786435 LMA786435:LMC786435 LVW786435:LVY786435 MFS786435:MFU786435 MPO786435:MPQ786435 MZK786435:MZM786435 NJG786435:NJI786435 NTC786435:NTE786435 OCY786435:ODA786435 OMU786435:OMW786435 OWQ786435:OWS786435 PGM786435:PGO786435 PQI786435:PQK786435 QAE786435:QAG786435 QKA786435:QKC786435 QTW786435:QTY786435 RDS786435:RDU786435 RNO786435:RNQ786435 RXK786435:RXM786435 SHG786435:SHI786435 SRC786435:SRE786435 TAY786435:TBA786435 TKU786435:TKW786435 TUQ786435:TUS786435 UEM786435:UEO786435 UOI786435:UOK786435 UYE786435:UYG786435 VIA786435:VIC786435 VRW786435:VRY786435 WBS786435:WBU786435 WLO786435:WLQ786435 WVK786435:WVM786435 C851971:E851971 IY851971:JA851971 SU851971:SW851971 ACQ851971:ACS851971 AMM851971:AMO851971 AWI851971:AWK851971 BGE851971:BGG851971 BQA851971:BQC851971 BZW851971:BZY851971 CJS851971:CJU851971 CTO851971:CTQ851971 DDK851971:DDM851971 DNG851971:DNI851971 DXC851971:DXE851971 EGY851971:EHA851971 EQU851971:EQW851971 FAQ851971:FAS851971 FKM851971:FKO851971 FUI851971:FUK851971 GEE851971:GEG851971 GOA851971:GOC851971 GXW851971:GXY851971 HHS851971:HHU851971 HRO851971:HRQ851971 IBK851971:IBM851971 ILG851971:ILI851971 IVC851971:IVE851971 JEY851971:JFA851971 JOU851971:JOW851971 JYQ851971:JYS851971 KIM851971:KIO851971 KSI851971:KSK851971 LCE851971:LCG851971 LMA851971:LMC851971 LVW851971:LVY851971 MFS851971:MFU851971 MPO851971:MPQ851971 MZK851971:MZM851971 NJG851971:NJI851971 NTC851971:NTE851971 OCY851971:ODA851971 OMU851971:OMW851971 OWQ851971:OWS851971 PGM851971:PGO851971 PQI851971:PQK851971 QAE851971:QAG851971 QKA851971:QKC851971 QTW851971:QTY851971 RDS851971:RDU851971 RNO851971:RNQ851971 RXK851971:RXM851971 SHG851971:SHI851971 SRC851971:SRE851971 TAY851971:TBA851971 TKU851971:TKW851971 TUQ851971:TUS851971 UEM851971:UEO851971 UOI851971:UOK851971 UYE851971:UYG851971 VIA851971:VIC851971 VRW851971:VRY851971 WBS851971:WBU851971 WLO851971:WLQ851971 WVK851971:WVM851971 C917507:E917507 IY917507:JA917507 SU917507:SW917507 ACQ917507:ACS917507 AMM917507:AMO917507 AWI917507:AWK917507 BGE917507:BGG917507 BQA917507:BQC917507 BZW917507:BZY917507 CJS917507:CJU917507 CTO917507:CTQ917507 DDK917507:DDM917507 DNG917507:DNI917507 DXC917507:DXE917507 EGY917507:EHA917507 EQU917507:EQW917507 FAQ917507:FAS917507 FKM917507:FKO917507 FUI917507:FUK917507 GEE917507:GEG917507 GOA917507:GOC917507 GXW917507:GXY917507 HHS917507:HHU917507 HRO917507:HRQ917507 IBK917507:IBM917507 ILG917507:ILI917507 IVC917507:IVE917507 JEY917507:JFA917507 JOU917507:JOW917507 JYQ917507:JYS917507 KIM917507:KIO917507 KSI917507:KSK917507 LCE917507:LCG917507 LMA917507:LMC917507 LVW917507:LVY917507 MFS917507:MFU917507 MPO917507:MPQ917507 MZK917507:MZM917507 NJG917507:NJI917507 NTC917507:NTE917507 OCY917507:ODA917507 OMU917507:OMW917507 OWQ917507:OWS917507 PGM917507:PGO917507 PQI917507:PQK917507 QAE917507:QAG917507 QKA917507:QKC917507 QTW917507:QTY917507 RDS917507:RDU917507 RNO917507:RNQ917507 RXK917507:RXM917507 SHG917507:SHI917507 SRC917507:SRE917507 TAY917507:TBA917507 TKU917507:TKW917507 TUQ917507:TUS917507 UEM917507:UEO917507 UOI917507:UOK917507 UYE917507:UYG917507 VIA917507:VIC917507 VRW917507:VRY917507 WBS917507:WBU917507 WLO917507:WLQ917507 WVK917507:WVM917507 C983043:E983043 IY983043:JA983043 SU983043:SW983043 ACQ983043:ACS983043 AMM983043:AMO983043 AWI983043:AWK983043 BGE983043:BGG983043 BQA983043:BQC983043 BZW983043:BZY983043 CJS983043:CJU983043 CTO983043:CTQ983043 DDK983043:DDM983043 DNG983043:DNI983043 DXC983043:DXE983043 EGY983043:EHA983043 EQU983043:EQW983043 FAQ983043:FAS983043 FKM983043:FKO983043 FUI983043:FUK983043 GEE983043:GEG983043 GOA983043:GOC983043 GXW983043:GXY983043 HHS983043:HHU983043 HRO983043:HRQ983043 IBK983043:IBM983043 ILG983043:ILI983043 IVC983043:IVE983043 JEY983043:JFA983043 JOU983043:JOW983043 JYQ983043:JYS983043 KIM983043:KIO983043 KSI983043:KSK983043 LCE983043:LCG983043 LMA983043:LMC983043 LVW983043:LVY983043 MFS983043:MFU983043 MPO983043:MPQ983043 MZK983043:MZM983043 NJG983043:NJI983043 NTC983043:NTE983043 OCY983043:ODA983043 OMU983043:OMW983043 OWQ983043:OWS983043 PGM983043:PGO983043 PQI983043:PQK983043 QAE983043:QAG983043 QKA983043:QKC983043 QTW983043:QTY983043 RDS983043:RDU983043 RNO983043:RNQ983043 RXK983043:RXM983043 SHG983043:SHI983043 SRC983043:SRE983043 TAY983043:TBA983043 TKU983043:TKW983043 TUQ983043:TUS983043 UEM983043:UEO983043 UOI983043:UOK983043 UYE983043:UYG983043 VIA983043:VIC983043 VRW983043:VRY983043 WBS983043:WBU983043 WLO983043:WLQ983043">
      <formula1>$Q$2:$Q$8</formula1>
    </dataValidation>
  </dataValidations>
  <pageMargins left="0.6692913385826772" right="0.70866141732283472" top="0.98425196850393704" bottom="0.59055118110236227" header="0.51181102362204722" footer="0.35433070866141736"/>
  <pageSetup paperSize="9" orientation="portrait" r:id="rId1"/>
  <headerFooter alignWithMargins="0">
    <oddHeader>&amp;L&amp;F</oddHeader>
  </headerFooter>
  <rowBreaks count="1" manualBreakCount="1">
    <brk id="5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zoomScaleNormal="100" workbookViewId="0">
      <selection activeCell="F17" sqref="F17"/>
    </sheetView>
  </sheetViews>
  <sheetFormatPr defaultRowHeight="12.75" x14ac:dyDescent="0.2"/>
  <cols>
    <col min="1" max="1" width="7.28515625" style="753" customWidth="1"/>
    <col min="2" max="2" width="13.7109375" style="753" customWidth="1"/>
    <col min="3" max="3" width="8.28515625" style="753" customWidth="1"/>
    <col min="4" max="10" width="4.7109375" style="753" customWidth="1"/>
    <col min="11" max="13" width="4.28515625" style="753" customWidth="1"/>
    <col min="14" max="14" width="6.140625" style="753" customWidth="1"/>
    <col min="15" max="15" width="6" style="753" customWidth="1"/>
    <col min="16" max="16" width="12.28515625" style="753" customWidth="1"/>
    <col min="17" max="20" width="7.85546875" style="753" hidden="1" customWidth="1"/>
    <col min="21" max="22" width="5" style="753" hidden="1" customWidth="1"/>
    <col min="23" max="23" width="0" style="753" hidden="1" customWidth="1"/>
    <col min="24" max="256" width="9.140625" style="753"/>
    <col min="257" max="257" width="7.28515625" style="753" customWidth="1"/>
    <col min="258" max="258" width="13.7109375" style="753" customWidth="1"/>
    <col min="259" max="259" width="8.28515625" style="753" customWidth="1"/>
    <col min="260" max="266" width="4.7109375" style="753" customWidth="1"/>
    <col min="267" max="269" width="4.28515625" style="753" customWidth="1"/>
    <col min="270" max="270" width="6.140625" style="753" customWidth="1"/>
    <col min="271" max="271" width="6" style="753" customWidth="1"/>
    <col min="272" max="272" width="12.28515625" style="753" customWidth="1"/>
    <col min="273" max="273" width="9.140625" style="753" customWidth="1"/>
    <col min="274" max="274" width="3.85546875" style="753" customWidth="1"/>
    <col min="275" max="277" width="9.140625" style="753" customWidth="1"/>
    <col min="278" max="512" width="9.140625" style="753"/>
    <col min="513" max="513" width="7.28515625" style="753" customWidth="1"/>
    <col min="514" max="514" width="13.7109375" style="753" customWidth="1"/>
    <col min="515" max="515" width="8.28515625" style="753" customWidth="1"/>
    <col min="516" max="522" width="4.7109375" style="753" customWidth="1"/>
    <col min="523" max="525" width="4.28515625" style="753" customWidth="1"/>
    <col min="526" max="526" width="6.140625" style="753" customWidth="1"/>
    <col min="527" max="527" width="6" style="753" customWidth="1"/>
    <col min="528" max="528" width="12.28515625" style="753" customWidth="1"/>
    <col min="529" max="529" width="9.140625" style="753" customWidth="1"/>
    <col min="530" max="530" width="3.85546875" style="753" customWidth="1"/>
    <col min="531" max="533" width="9.140625" style="753" customWidth="1"/>
    <col min="534" max="768" width="9.140625" style="753"/>
    <col min="769" max="769" width="7.28515625" style="753" customWidth="1"/>
    <col min="770" max="770" width="13.7109375" style="753" customWidth="1"/>
    <col min="771" max="771" width="8.28515625" style="753" customWidth="1"/>
    <col min="772" max="778" width="4.7109375" style="753" customWidth="1"/>
    <col min="779" max="781" width="4.28515625" style="753" customWidth="1"/>
    <col min="782" max="782" width="6.140625" style="753" customWidth="1"/>
    <col min="783" max="783" width="6" style="753" customWidth="1"/>
    <col min="784" max="784" width="12.28515625" style="753" customWidth="1"/>
    <col min="785" max="785" width="9.140625" style="753" customWidth="1"/>
    <col min="786" max="786" width="3.85546875" style="753" customWidth="1"/>
    <col min="787" max="789" width="9.140625" style="753" customWidth="1"/>
    <col min="790" max="1024" width="9.140625" style="753"/>
    <col min="1025" max="1025" width="7.28515625" style="753" customWidth="1"/>
    <col min="1026" max="1026" width="13.7109375" style="753" customWidth="1"/>
    <col min="1027" max="1027" width="8.28515625" style="753" customWidth="1"/>
    <col min="1028" max="1034" width="4.7109375" style="753" customWidth="1"/>
    <col min="1035" max="1037" width="4.28515625" style="753" customWidth="1"/>
    <col min="1038" max="1038" width="6.140625" style="753" customWidth="1"/>
    <col min="1039" max="1039" width="6" style="753" customWidth="1"/>
    <col min="1040" max="1040" width="12.28515625" style="753" customWidth="1"/>
    <col min="1041" max="1041" width="9.140625" style="753" customWidth="1"/>
    <col min="1042" max="1042" width="3.85546875" style="753" customWidth="1"/>
    <col min="1043" max="1045" width="9.140625" style="753" customWidth="1"/>
    <col min="1046" max="1280" width="9.140625" style="753"/>
    <col min="1281" max="1281" width="7.28515625" style="753" customWidth="1"/>
    <col min="1282" max="1282" width="13.7109375" style="753" customWidth="1"/>
    <col min="1283" max="1283" width="8.28515625" style="753" customWidth="1"/>
    <col min="1284" max="1290" width="4.7109375" style="753" customWidth="1"/>
    <col min="1291" max="1293" width="4.28515625" style="753" customWidth="1"/>
    <col min="1294" max="1294" width="6.140625" style="753" customWidth="1"/>
    <col min="1295" max="1295" width="6" style="753" customWidth="1"/>
    <col min="1296" max="1296" width="12.28515625" style="753" customWidth="1"/>
    <col min="1297" max="1297" width="9.140625" style="753" customWidth="1"/>
    <col min="1298" max="1298" width="3.85546875" style="753" customWidth="1"/>
    <col min="1299" max="1301" width="9.140625" style="753" customWidth="1"/>
    <col min="1302" max="1536" width="9.140625" style="753"/>
    <col min="1537" max="1537" width="7.28515625" style="753" customWidth="1"/>
    <col min="1538" max="1538" width="13.7109375" style="753" customWidth="1"/>
    <col min="1539" max="1539" width="8.28515625" style="753" customWidth="1"/>
    <col min="1540" max="1546" width="4.7109375" style="753" customWidth="1"/>
    <col min="1547" max="1549" width="4.28515625" style="753" customWidth="1"/>
    <col min="1550" max="1550" width="6.140625" style="753" customWidth="1"/>
    <col min="1551" max="1551" width="6" style="753" customWidth="1"/>
    <col min="1552" max="1552" width="12.28515625" style="753" customWidth="1"/>
    <col min="1553" max="1553" width="9.140625" style="753" customWidth="1"/>
    <col min="1554" max="1554" width="3.85546875" style="753" customWidth="1"/>
    <col min="1555" max="1557" width="9.140625" style="753" customWidth="1"/>
    <col min="1558" max="1792" width="9.140625" style="753"/>
    <col min="1793" max="1793" width="7.28515625" style="753" customWidth="1"/>
    <col min="1794" max="1794" width="13.7109375" style="753" customWidth="1"/>
    <col min="1795" max="1795" width="8.28515625" style="753" customWidth="1"/>
    <col min="1796" max="1802" width="4.7109375" style="753" customWidth="1"/>
    <col min="1803" max="1805" width="4.28515625" style="753" customWidth="1"/>
    <col min="1806" max="1806" width="6.140625" style="753" customWidth="1"/>
    <col min="1807" max="1807" width="6" style="753" customWidth="1"/>
    <col min="1808" max="1808" width="12.28515625" style="753" customWidth="1"/>
    <col min="1809" max="1809" width="9.140625" style="753" customWidth="1"/>
    <col min="1810" max="1810" width="3.85546875" style="753" customWidth="1"/>
    <col min="1811" max="1813" width="9.140625" style="753" customWidth="1"/>
    <col min="1814" max="2048" width="9.140625" style="753"/>
    <col min="2049" max="2049" width="7.28515625" style="753" customWidth="1"/>
    <col min="2050" max="2050" width="13.7109375" style="753" customWidth="1"/>
    <col min="2051" max="2051" width="8.28515625" style="753" customWidth="1"/>
    <col min="2052" max="2058" width="4.7109375" style="753" customWidth="1"/>
    <col min="2059" max="2061" width="4.28515625" style="753" customWidth="1"/>
    <col min="2062" max="2062" width="6.140625" style="753" customWidth="1"/>
    <col min="2063" max="2063" width="6" style="753" customWidth="1"/>
    <col min="2064" max="2064" width="12.28515625" style="753" customWidth="1"/>
    <col min="2065" max="2065" width="9.140625" style="753" customWidth="1"/>
    <col min="2066" max="2066" width="3.85546875" style="753" customWidth="1"/>
    <col min="2067" max="2069" width="9.140625" style="753" customWidth="1"/>
    <col min="2070" max="2304" width="9.140625" style="753"/>
    <col min="2305" max="2305" width="7.28515625" style="753" customWidth="1"/>
    <col min="2306" max="2306" width="13.7109375" style="753" customWidth="1"/>
    <col min="2307" max="2307" width="8.28515625" style="753" customWidth="1"/>
    <col min="2308" max="2314" width="4.7109375" style="753" customWidth="1"/>
    <col min="2315" max="2317" width="4.28515625" style="753" customWidth="1"/>
    <col min="2318" max="2318" width="6.140625" style="753" customWidth="1"/>
    <col min="2319" max="2319" width="6" style="753" customWidth="1"/>
    <col min="2320" max="2320" width="12.28515625" style="753" customWidth="1"/>
    <col min="2321" max="2321" width="9.140625" style="753" customWidth="1"/>
    <col min="2322" max="2322" width="3.85546875" style="753" customWidth="1"/>
    <col min="2323" max="2325" width="9.140625" style="753" customWidth="1"/>
    <col min="2326" max="2560" width="9.140625" style="753"/>
    <col min="2561" max="2561" width="7.28515625" style="753" customWidth="1"/>
    <col min="2562" max="2562" width="13.7109375" style="753" customWidth="1"/>
    <col min="2563" max="2563" width="8.28515625" style="753" customWidth="1"/>
    <col min="2564" max="2570" width="4.7109375" style="753" customWidth="1"/>
    <col min="2571" max="2573" width="4.28515625" style="753" customWidth="1"/>
    <col min="2574" max="2574" width="6.140625" style="753" customWidth="1"/>
    <col min="2575" max="2575" width="6" style="753" customWidth="1"/>
    <col min="2576" max="2576" width="12.28515625" style="753" customWidth="1"/>
    <col min="2577" max="2577" width="9.140625" style="753" customWidth="1"/>
    <col min="2578" max="2578" width="3.85546875" style="753" customWidth="1"/>
    <col min="2579" max="2581" width="9.140625" style="753" customWidth="1"/>
    <col min="2582" max="2816" width="9.140625" style="753"/>
    <col min="2817" max="2817" width="7.28515625" style="753" customWidth="1"/>
    <col min="2818" max="2818" width="13.7109375" style="753" customWidth="1"/>
    <col min="2819" max="2819" width="8.28515625" style="753" customWidth="1"/>
    <col min="2820" max="2826" width="4.7109375" style="753" customWidth="1"/>
    <col min="2827" max="2829" width="4.28515625" style="753" customWidth="1"/>
    <col min="2830" max="2830" width="6.140625" style="753" customWidth="1"/>
    <col min="2831" max="2831" width="6" style="753" customWidth="1"/>
    <col min="2832" max="2832" width="12.28515625" style="753" customWidth="1"/>
    <col min="2833" max="2833" width="9.140625" style="753" customWidth="1"/>
    <col min="2834" max="2834" width="3.85546875" style="753" customWidth="1"/>
    <col min="2835" max="2837" width="9.140625" style="753" customWidth="1"/>
    <col min="2838" max="3072" width="9.140625" style="753"/>
    <col min="3073" max="3073" width="7.28515625" style="753" customWidth="1"/>
    <col min="3074" max="3074" width="13.7109375" style="753" customWidth="1"/>
    <col min="3075" max="3075" width="8.28515625" style="753" customWidth="1"/>
    <col min="3076" max="3082" width="4.7109375" style="753" customWidth="1"/>
    <col min="3083" max="3085" width="4.28515625" style="753" customWidth="1"/>
    <col min="3086" max="3086" width="6.140625" style="753" customWidth="1"/>
    <col min="3087" max="3087" width="6" style="753" customWidth="1"/>
    <col min="3088" max="3088" width="12.28515625" style="753" customWidth="1"/>
    <col min="3089" max="3089" width="9.140625" style="753" customWidth="1"/>
    <col min="3090" max="3090" width="3.85546875" style="753" customWidth="1"/>
    <col min="3091" max="3093" width="9.140625" style="753" customWidth="1"/>
    <col min="3094" max="3328" width="9.140625" style="753"/>
    <col min="3329" max="3329" width="7.28515625" style="753" customWidth="1"/>
    <col min="3330" max="3330" width="13.7109375" style="753" customWidth="1"/>
    <col min="3331" max="3331" width="8.28515625" style="753" customWidth="1"/>
    <col min="3332" max="3338" width="4.7109375" style="753" customWidth="1"/>
    <col min="3339" max="3341" width="4.28515625" style="753" customWidth="1"/>
    <col min="3342" max="3342" width="6.140625" style="753" customWidth="1"/>
    <col min="3343" max="3343" width="6" style="753" customWidth="1"/>
    <col min="3344" max="3344" width="12.28515625" style="753" customWidth="1"/>
    <col min="3345" max="3345" width="9.140625" style="753" customWidth="1"/>
    <col min="3346" max="3346" width="3.85546875" style="753" customWidth="1"/>
    <col min="3347" max="3349" width="9.140625" style="753" customWidth="1"/>
    <col min="3350" max="3584" width="9.140625" style="753"/>
    <col min="3585" max="3585" width="7.28515625" style="753" customWidth="1"/>
    <col min="3586" max="3586" width="13.7109375" style="753" customWidth="1"/>
    <col min="3587" max="3587" width="8.28515625" style="753" customWidth="1"/>
    <col min="3588" max="3594" width="4.7109375" style="753" customWidth="1"/>
    <col min="3595" max="3597" width="4.28515625" style="753" customWidth="1"/>
    <col min="3598" max="3598" width="6.140625" style="753" customWidth="1"/>
    <col min="3599" max="3599" width="6" style="753" customWidth="1"/>
    <col min="3600" max="3600" width="12.28515625" style="753" customWidth="1"/>
    <col min="3601" max="3601" width="9.140625" style="753" customWidth="1"/>
    <col min="3602" max="3602" width="3.85546875" style="753" customWidth="1"/>
    <col min="3603" max="3605" width="9.140625" style="753" customWidth="1"/>
    <col min="3606" max="3840" width="9.140625" style="753"/>
    <col min="3841" max="3841" width="7.28515625" style="753" customWidth="1"/>
    <col min="3842" max="3842" width="13.7109375" style="753" customWidth="1"/>
    <col min="3843" max="3843" width="8.28515625" style="753" customWidth="1"/>
    <col min="3844" max="3850" width="4.7109375" style="753" customWidth="1"/>
    <col min="3851" max="3853" width="4.28515625" style="753" customWidth="1"/>
    <col min="3854" max="3854" width="6.140625" style="753" customWidth="1"/>
    <col min="3855" max="3855" width="6" style="753" customWidth="1"/>
    <col min="3856" max="3856" width="12.28515625" style="753" customWidth="1"/>
    <col min="3857" max="3857" width="9.140625" style="753" customWidth="1"/>
    <col min="3858" max="3858" width="3.85546875" style="753" customWidth="1"/>
    <col min="3859" max="3861" width="9.140625" style="753" customWidth="1"/>
    <col min="3862" max="4096" width="9.140625" style="753"/>
    <col min="4097" max="4097" width="7.28515625" style="753" customWidth="1"/>
    <col min="4098" max="4098" width="13.7109375" style="753" customWidth="1"/>
    <col min="4099" max="4099" width="8.28515625" style="753" customWidth="1"/>
    <col min="4100" max="4106" width="4.7109375" style="753" customWidth="1"/>
    <col min="4107" max="4109" width="4.28515625" style="753" customWidth="1"/>
    <col min="4110" max="4110" width="6.140625" style="753" customWidth="1"/>
    <col min="4111" max="4111" width="6" style="753" customWidth="1"/>
    <col min="4112" max="4112" width="12.28515625" style="753" customWidth="1"/>
    <col min="4113" max="4113" width="9.140625" style="753" customWidth="1"/>
    <col min="4114" max="4114" width="3.85546875" style="753" customWidth="1"/>
    <col min="4115" max="4117" width="9.140625" style="753" customWidth="1"/>
    <col min="4118" max="4352" width="9.140625" style="753"/>
    <col min="4353" max="4353" width="7.28515625" style="753" customWidth="1"/>
    <col min="4354" max="4354" width="13.7109375" style="753" customWidth="1"/>
    <col min="4355" max="4355" width="8.28515625" style="753" customWidth="1"/>
    <col min="4356" max="4362" width="4.7109375" style="753" customWidth="1"/>
    <col min="4363" max="4365" width="4.28515625" style="753" customWidth="1"/>
    <col min="4366" max="4366" width="6.140625" style="753" customWidth="1"/>
    <col min="4367" max="4367" width="6" style="753" customWidth="1"/>
    <col min="4368" max="4368" width="12.28515625" style="753" customWidth="1"/>
    <col min="4369" max="4369" width="9.140625" style="753" customWidth="1"/>
    <col min="4370" max="4370" width="3.85546875" style="753" customWidth="1"/>
    <col min="4371" max="4373" width="9.140625" style="753" customWidth="1"/>
    <col min="4374" max="4608" width="9.140625" style="753"/>
    <col min="4609" max="4609" width="7.28515625" style="753" customWidth="1"/>
    <col min="4610" max="4610" width="13.7109375" style="753" customWidth="1"/>
    <col min="4611" max="4611" width="8.28515625" style="753" customWidth="1"/>
    <col min="4612" max="4618" width="4.7109375" style="753" customWidth="1"/>
    <col min="4619" max="4621" width="4.28515625" style="753" customWidth="1"/>
    <col min="4622" max="4622" width="6.140625" style="753" customWidth="1"/>
    <col min="4623" max="4623" width="6" style="753" customWidth="1"/>
    <col min="4624" max="4624" width="12.28515625" style="753" customWidth="1"/>
    <col min="4625" max="4625" width="9.140625" style="753" customWidth="1"/>
    <col min="4626" max="4626" width="3.85546875" style="753" customWidth="1"/>
    <col min="4627" max="4629" width="9.140625" style="753" customWidth="1"/>
    <col min="4630" max="4864" width="9.140625" style="753"/>
    <col min="4865" max="4865" width="7.28515625" style="753" customWidth="1"/>
    <col min="4866" max="4866" width="13.7109375" style="753" customWidth="1"/>
    <col min="4867" max="4867" width="8.28515625" style="753" customWidth="1"/>
    <col min="4868" max="4874" width="4.7109375" style="753" customWidth="1"/>
    <col min="4875" max="4877" width="4.28515625" style="753" customWidth="1"/>
    <col min="4878" max="4878" width="6.140625" style="753" customWidth="1"/>
    <col min="4879" max="4879" width="6" style="753" customWidth="1"/>
    <col min="4880" max="4880" width="12.28515625" style="753" customWidth="1"/>
    <col min="4881" max="4881" width="9.140625" style="753" customWidth="1"/>
    <col min="4882" max="4882" width="3.85546875" style="753" customWidth="1"/>
    <col min="4883" max="4885" width="9.140625" style="753" customWidth="1"/>
    <col min="4886" max="5120" width="9.140625" style="753"/>
    <col min="5121" max="5121" width="7.28515625" style="753" customWidth="1"/>
    <col min="5122" max="5122" width="13.7109375" style="753" customWidth="1"/>
    <col min="5123" max="5123" width="8.28515625" style="753" customWidth="1"/>
    <col min="5124" max="5130" width="4.7109375" style="753" customWidth="1"/>
    <col min="5131" max="5133" width="4.28515625" style="753" customWidth="1"/>
    <col min="5134" max="5134" width="6.140625" style="753" customWidth="1"/>
    <col min="5135" max="5135" width="6" style="753" customWidth="1"/>
    <col min="5136" max="5136" width="12.28515625" style="753" customWidth="1"/>
    <col min="5137" max="5137" width="9.140625" style="753" customWidth="1"/>
    <col min="5138" max="5138" width="3.85546875" style="753" customWidth="1"/>
    <col min="5139" max="5141" width="9.140625" style="753" customWidth="1"/>
    <col min="5142" max="5376" width="9.140625" style="753"/>
    <col min="5377" max="5377" width="7.28515625" style="753" customWidth="1"/>
    <col min="5378" max="5378" width="13.7109375" style="753" customWidth="1"/>
    <col min="5379" max="5379" width="8.28515625" style="753" customWidth="1"/>
    <col min="5380" max="5386" width="4.7109375" style="753" customWidth="1"/>
    <col min="5387" max="5389" width="4.28515625" style="753" customWidth="1"/>
    <col min="5390" max="5390" width="6.140625" style="753" customWidth="1"/>
    <col min="5391" max="5391" width="6" style="753" customWidth="1"/>
    <col min="5392" max="5392" width="12.28515625" style="753" customWidth="1"/>
    <col min="5393" max="5393" width="9.140625" style="753" customWidth="1"/>
    <col min="5394" max="5394" width="3.85546875" style="753" customWidth="1"/>
    <col min="5395" max="5397" width="9.140625" style="753" customWidth="1"/>
    <col min="5398" max="5632" width="9.140625" style="753"/>
    <col min="5633" max="5633" width="7.28515625" style="753" customWidth="1"/>
    <col min="5634" max="5634" width="13.7109375" style="753" customWidth="1"/>
    <col min="5635" max="5635" width="8.28515625" style="753" customWidth="1"/>
    <col min="5636" max="5642" width="4.7109375" style="753" customWidth="1"/>
    <col min="5643" max="5645" width="4.28515625" style="753" customWidth="1"/>
    <col min="5646" max="5646" width="6.140625" style="753" customWidth="1"/>
    <col min="5647" max="5647" width="6" style="753" customWidth="1"/>
    <col min="5648" max="5648" width="12.28515625" style="753" customWidth="1"/>
    <col min="5649" max="5649" width="9.140625" style="753" customWidth="1"/>
    <col min="5650" max="5650" width="3.85546875" style="753" customWidth="1"/>
    <col min="5651" max="5653" width="9.140625" style="753" customWidth="1"/>
    <col min="5654" max="5888" width="9.140625" style="753"/>
    <col min="5889" max="5889" width="7.28515625" style="753" customWidth="1"/>
    <col min="5890" max="5890" width="13.7109375" style="753" customWidth="1"/>
    <col min="5891" max="5891" width="8.28515625" style="753" customWidth="1"/>
    <col min="5892" max="5898" width="4.7109375" style="753" customWidth="1"/>
    <col min="5899" max="5901" width="4.28515625" style="753" customWidth="1"/>
    <col min="5902" max="5902" width="6.140625" style="753" customWidth="1"/>
    <col min="5903" max="5903" width="6" style="753" customWidth="1"/>
    <col min="5904" max="5904" width="12.28515625" style="753" customWidth="1"/>
    <col min="5905" max="5905" width="9.140625" style="753" customWidth="1"/>
    <col min="5906" max="5906" width="3.85546875" style="753" customWidth="1"/>
    <col min="5907" max="5909" width="9.140625" style="753" customWidth="1"/>
    <col min="5910" max="6144" width="9.140625" style="753"/>
    <col min="6145" max="6145" width="7.28515625" style="753" customWidth="1"/>
    <col min="6146" max="6146" width="13.7109375" style="753" customWidth="1"/>
    <col min="6147" max="6147" width="8.28515625" style="753" customWidth="1"/>
    <col min="6148" max="6154" width="4.7109375" style="753" customWidth="1"/>
    <col min="6155" max="6157" width="4.28515625" style="753" customWidth="1"/>
    <col min="6158" max="6158" width="6.140625" style="753" customWidth="1"/>
    <col min="6159" max="6159" width="6" style="753" customWidth="1"/>
    <col min="6160" max="6160" width="12.28515625" style="753" customWidth="1"/>
    <col min="6161" max="6161" width="9.140625" style="753" customWidth="1"/>
    <col min="6162" max="6162" width="3.85546875" style="753" customWidth="1"/>
    <col min="6163" max="6165" width="9.140625" style="753" customWidth="1"/>
    <col min="6166" max="6400" width="9.140625" style="753"/>
    <col min="6401" max="6401" width="7.28515625" style="753" customWidth="1"/>
    <col min="6402" max="6402" width="13.7109375" style="753" customWidth="1"/>
    <col min="6403" max="6403" width="8.28515625" style="753" customWidth="1"/>
    <col min="6404" max="6410" width="4.7109375" style="753" customWidth="1"/>
    <col min="6411" max="6413" width="4.28515625" style="753" customWidth="1"/>
    <col min="6414" max="6414" width="6.140625" style="753" customWidth="1"/>
    <col min="6415" max="6415" width="6" style="753" customWidth="1"/>
    <col min="6416" max="6416" width="12.28515625" style="753" customWidth="1"/>
    <col min="6417" max="6417" width="9.140625" style="753" customWidth="1"/>
    <col min="6418" max="6418" width="3.85546875" style="753" customWidth="1"/>
    <col min="6419" max="6421" width="9.140625" style="753" customWidth="1"/>
    <col min="6422" max="6656" width="9.140625" style="753"/>
    <col min="6657" max="6657" width="7.28515625" style="753" customWidth="1"/>
    <col min="6658" max="6658" width="13.7109375" style="753" customWidth="1"/>
    <col min="6659" max="6659" width="8.28515625" style="753" customWidth="1"/>
    <col min="6660" max="6666" width="4.7109375" style="753" customWidth="1"/>
    <col min="6667" max="6669" width="4.28515625" style="753" customWidth="1"/>
    <col min="6670" max="6670" width="6.140625" style="753" customWidth="1"/>
    <col min="6671" max="6671" width="6" style="753" customWidth="1"/>
    <col min="6672" max="6672" width="12.28515625" style="753" customWidth="1"/>
    <col min="6673" max="6673" width="9.140625" style="753" customWidth="1"/>
    <col min="6674" max="6674" width="3.85546875" style="753" customWidth="1"/>
    <col min="6675" max="6677" width="9.140625" style="753" customWidth="1"/>
    <col min="6678" max="6912" width="9.140625" style="753"/>
    <col min="6913" max="6913" width="7.28515625" style="753" customWidth="1"/>
    <col min="6914" max="6914" width="13.7109375" style="753" customWidth="1"/>
    <col min="6915" max="6915" width="8.28515625" style="753" customWidth="1"/>
    <col min="6916" max="6922" width="4.7109375" style="753" customWidth="1"/>
    <col min="6923" max="6925" width="4.28515625" style="753" customWidth="1"/>
    <col min="6926" max="6926" width="6.140625" style="753" customWidth="1"/>
    <col min="6927" max="6927" width="6" style="753" customWidth="1"/>
    <col min="6928" max="6928" width="12.28515625" style="753" customWidth="1"/>
    <col min="6929" max="6929" width="9.140625" style="753" customWidth="1"/>
    <col min="6930" max="6930" width="3.85546875" style="753" customWidth="1"/>
    <col min="6931" max="6933" width="9.140625" style="753" customWidth="1"/>
    <col min="6934" max="7168" width="9.140625" style="753"/>
    <col min="7169" max="7169" width="7.28515625" style="753" customWidth="1"/>
    <col min="7170" max="7170" width="13.7109375" style="753" customWidth="1"/>
    <col min="7171" max="7171" width="8.28515625" style="753" customWidth="1"/>
    <col min="7172" max="7178" width="4.7109375" style="753" customWidth="1"/>
    <col min="7179" max="7181" width="4.28515625" style="753" customWidth="1"/>
    <col min="7182" max="7182" width="6.140625" style="753" customWidth="1"/>
    <col min="7183" max="7183" width="6" style="753" customWidth="1"/>
    <col min="7184" max="7184" width="12.28515625" style="753" customWidth="1"/>
    <col min="7185" max="7185" width="9.140625" style="753" customWidth="1"/>
    <col min="7186" max="7186" width="3.85546875" style="753" customWidth="1"/>
    <col min="7187" max="7189" width="9.140625" style="753" customWidth="1"/>
    <col min="7190" max="7424" width="9.140625" style="753"/>
    <col min="7425" max="7425" width="7.28515625" style="753" customWidth="1"/>
    <col min="7426" max="7426" width="13.7109375" style="753" customWidth="1"/>
    <col min="7427" max="7427" width="8.28515625" style="753" customWidth="1"/>
    <col min="7428" max="7434" width="4.7109375" style="753" customWidth="1"/>
    <col min="7435" max="7437" width="4.28515625" style="753" customWidth="1"/>
    <col min="7438" max="7438" width="6.140625" style="753" customWidth="1"/>
    <col min="7439" max="7439" width="6" style="753" customWidth="1"/>
    <col min="7440" max="7440" width="12.28515625" style="753" customWidth="1"/>
    <col min="7441" max="7441" width="9.140625" style="753" customWidth="1"/>
    <col min="7442" max="7442" width="3.85546875" style="753" customWidth="1"/>
    <col min="7443" max="7445" width="9.140625" style="753" customWidth="1"/>
    <col min="7446" max="7680" width="9.140625" style="753"/>
    <col min="7681" max="7681" width="7.28515625" style="753" customWidth="1"/>
    <col min="7682" max="7682" width="13.7109375" style="753" customWidth="1"/>
    <col min="7683" max="7683" width="8.28515625" style="753" customWidth="1"/>
    <col min="7684" max="7690" width="4.7109375" style="753" customWidth="1"/>
    <col min="7691" max="7693" width="4.28515625" style="753" customWidth="1"/>
    <col min="7694" max="7694" width="6.140625" style="753" customWidth="1"/>
    <col min="7695" max="7695" width="6" style="753" customWidth="1"/>
    <col min="7696" max="7696" width="12.28515625" style="753" customWidth="1"/>
    <col min="7697" max="7697" width="9.140625" style="753" customWidth="1"/>
    <col min="7698" max="7698" width="3.85546875" style="753" customWidth="1"/>
    <col min="7699" max="7701" width="9.140625" style="753" customWidth="1"/>
    <col min="7702" max="7936" width="9.140625" style="753"/>
    <col min="7937" max="7937" width="7.28515625" style="753" customWidth="1"/>
    <col min="7938" max="7938" width="13.7109375" style="753" customWidth="1"/>
    <col min="7939" max="7939" width="8.28515625" style="753" customWidth="1"/>
    <col min="7940" max="7946" width="4.7109375" style="753" customWidth="1"/>
    <col min="7947" max="7949" width="4.28515625" style="753" customWidth="1"/>
    <col min="7950" max="7950" width="6.140625" style="753" customWidth="1"/>
    <col min="7951" max="7951" width="6" style="753" customWidth="1"/>
    <col min="7952" max="7952" width="12.28515625" style="753" customWidth="1"/>
    <col min="7953" max="7953" width="9.140625" style="753" customWidth="1"/>
    <col min="7954" max="7954" width="3.85546875" style="753" customWidth="1"/>
    <col min="7955" max="7957" width="9.140625" style="753" customWidth="1"/>
    <col min="7958" max="8192" width="9.140625" style="753"/>
    <col min="8193" max="8193" width="7.28515625" style="753" customWidth="1"/>
    <col min="8194" max="8194" width="13.7109375" style="753" customWidth="1"/>
    <col min="8195" max="8195" width="8.28515625" style="753" customWidth="1"/>
    <col min="8196" max="8202" width="4.7109375" style="753" customWidth="1"/>
    <col min="8203" max="8205" width="4.28515625" style="753" customWidth="1"/>
    <col min="8206" max="8206" width="6.140625" style="753" customWidth="1"/>
    <col min="8207" max="8207" width="6" style="753" customWidth="1"/>
    <col min="8208" max="8208" width="12.28515625" style="753" customWidth="1"/>
    <col min="8209" max="8209" width="9.140625" style="753" customWidth="1"/>
    <col min="8210" max="8210" width="3.85546875" style="753" customWidth="1"/>
    <col min="8211" max="8213" width="9.140625" style="753" customWidth="1"/>
    <col min="8214" max="8448" width="9.140625" style="753"/>
    <col min="8449" max="8449" width="7.28515625" style="753" customWidth="1"/>
    <col min="8450" max="8450" width="13.7109375" style="753" customWidth="1"/>
    <col min="8451" max="8451" width="8.28515625" style="753" customWidth="1"/>
    <col min="8452" max="8458" width="4.7109375" style="753" customWidth="1"/>
    <col min="8459" max="8461" width="4.28515625" style="753" customWidth="1"/>
    <col min="8462" max="8462" width="6.140625" style="753" customWidth="1"/>
    <col min="8463" max="8463" width="6" style="753" customWidth="1"/>
    <col min="8464" max="8464" width="12.28515625" style="753" customWidth="1"/>
    <col min="8465" max="8465" width="9.140625" style="753" customWidth="1"/>
    <col min="8466" max="8466" width="3.85546875" style="753" customWidth="1"/>
    <col min="8467" max="8469" width="9.140625" style="753" customWidth="1"/>
    <col min="8470" max="8704" width="9.140625" style="753"/>
    <col min="8705" max="8705" width="7.28515625" style="753" customWidth="1"/>
    <col min="8706" max="8706" width="13.7109375" style="753" customWidth="1"/>
    <col min="8707" max="8707" width="8.28515625" style="753" customWidth="1"/>
    <col min="8708" max="8714" width="4.7109375" style="753" customWidth="1"/>
    <col min="8715" max="8717" width="4.28515625" style="753" customWidth="1"/>
    <col min="8718" max="8718" width="6.140625" style="753" customWidth="1"/>
    <col min="8719" max="8719" width="6" style="753" customWidth="1"/>
    <col min="8720" max="8720" width="12.28515625" style="753" customWidth="1"/>
    <col min="8721" max="8721" width="9.140625" style="753" customWidth="1"/>
    <col min="8722" max="8722" width="3.85546875" style="753" customWidth="1"/>
    <col min="8723" max="8725" width="9.140625" style="753" customWidth="1"/>
    <col min="8726" max="8960" width="9.140625" style="753"/>
    <col min="8961" max="8961" width="7.28515625" style="753" customWidth="1"/>
    <col min="8962" max="8962" width="13.7109375" style="753" customWidth="1"/>
    <col min="8963" max="8963" width="8.28515625" style="753" customWidth="1"/>
    <col min="8964" max="8970" width="4.7109375" style="753" customWidth="1"/>
    <col min="8971" max="8973" width="4.28515625" style="753" customWidth="1"/>
    <col min="8974" max="8974" width="6.140625" style="753" customWidth="1"/>
    <col min="8975" max="8975" width="6" style="753" customWidth="1"/>
    <col min="8976" max="8976" width="12.28515625" style="753" customWidth="1"/>
    <col min="8977" max="8977" width="9.140625" style="753" customWidth="1"/>
    <col min="8978" max="8978" width="3.85546875" style="753" customWidth="1"/>
    <col min="8979" max="8981" width="9.140625" style="753" customWidth="1"/>
    <col min="8982" max="9216" width="9.140625" style="753"/>
    <col min="9217" max="9217" width="7.28515625" style="753" customWidth="1"/>
    <col min="9218" max="9218" width="13.7109375" style="753" customWidth="1"/>
    <col min="9219" max="9219" width="8.28515625" style="753" customWidth="1"/>
    <col min="9220" max="9226" width="4.7109375" style="753" customWidth="1"/>
    <col min="9227" max="9229" width="4.28515625" style="753" customWidth="1"/>
    <col min="9230" max="9230" width="6.140625" style="753" customWidth="1"/>
    <col min="9231" max="9231" width="6" style="753" customWidth="1"/>
    <col min="9232" max="9232" width="12.28515625" style="753" customWidth="1"/>
    <col min="9233" max="9233" width="9.140625" style="753" customWidth="1"/>
    <col min="9234" max="9234" width="3.85546875" style="753" customWidth="1"/>
    <col min="9235" max="9237" width="9.140625" style="753" customWidth="1"/>
    <col min="9238" max="9472" width="9.140625" style="753"/>
    <col min="9473" max="9473" width="7.28515625" style="753" customWidth="1"/>
    <col min="9474" max="9474" width="13.7109375" style="753" customWidth="1"/>
    <col min="9475" max="9475" width="8.28515625" style="753" customWidth="1"/>
    <col min="9476" max="9482" width="4.7109375" style="753" customWidth="1"/>
    <col min="9483" max="9485" width="4.28515625" style="753" customWidth="1"/>
    <col min="9486" max="9486" width="6.140625" style="753" customWidth="1"/>
    <col min="9487" max="9487" width="6" style="753" customWidth="1"/>
    <col min="9488" max="9488" width="12.28515625" style="753" customWidth="1"/>
    <col min="9489" max="9489" width="9.140625" style="753" customWidth="1"/>
    <col min="9490" max="9490" width="3.85546875" style="753" customWidth="1"/>
    <col min="9491" max="9493" width="9.140625" style="753" customWidth="1"/>
    <col min="9494" max="9728" width="9.140625" style="753"/>
    <col min="9729" max="9729" width="7.28515625" style="753" customWidth="1"/>
    <col min="9730" max="9730" width="13.7109375" style="753" customWidth="1"/>
    <col min="9731" max="9731" width="8.28515625" style="753" customWidth="1"/>
    <col min="9732" max="9738" width="4.7109375" style="753" customWidth="1"/>
    <col min="9739" max="9741" width="4.28515625" style="753" customWidth="1"/>
    <col min="9742" max="9742" width="6.140625" style="753" customWidth="1"/>
    <col min="9743" max="9743" width="6" style="753" customWidth="1"/>
    <col min="9744" max="9744" width="12.28515625" style="753" customWidth="1"/>
    <col min="9745" max="9745" width="9.140625" style="753" customWidth="1"/>
    <col min="9746" max="9746" width="3.85546875" style="753" customWidth="1"/>
    <col min="9747" max="9749" width="9.140625" style="753" customWidth="1"/>
    <col min="9750" max="9984" width="9.140625" style="753"/>
    <col min="9985" max="9985" width="7.28515625" style="753" customWidth="1"/>
    <col min="9986" max="9986" width="13.7109375" style="753" customWidth="1"/>
    <col min="9987" max="9987" width="8.28515625" style="753" customWidth="1"/>
    <col min="9988" max="9994" width="4.7109375" style="753" customWidth="1"/>
    <col min="9995" max="9997" width="4.28515625" style="753" customWidth="1"/>
    <col min="9998" max="9998" width="6.140625" style="753" customWidth="1"/>
    <col min="9999" max="9999" width="6" style="753" customWidth="1"/>
    <col min="10000" max="10000" width="12.28515625" style="753" customWidth="1"/>
    <col min="10001" max="10001" width="9.140625" style="753" customWidth="1"/>
    <col min="10002" max="10002" width="3.85546875" style="753" customWidth="1"/>
    <col min="10003" max="10005" width="9.140625" style="753" customWidth="1"/>
    <col min="10006" max="10240" width="9.140625" style="753"/>
    <col min="10241" max="10241" width="7.28515625" style="753" customWidth="1"/>
    <col min="10242" max="10242" width="13.7109375" style="753" customWidth="1"/>
    <col min="10243" max="10243" width="8.28515625" style="753" customWidth="1"/>
    <col min="10244" max="10250" width="4.7109375" style="753" customWidth="1"/>
    <col min="10251" max="10253" width="4.28515625" style="753" customWidth="1"/>
    <col min="10254" max="10254" width="6.140625" style="753" customWidth="1"/>
    <col min="10255" max="10255" width="6" style="753" customWidth="1"/>
    <col min="10256" max="10256" width="12.28515625" style="753" customWidth="1"/>
    <col min="10257" max="10257" width="9.140625" style="753" customWidth="1"/>
    <col min="10258" max="10258" width="3.85546875" style="753" customWidth="1"/>
    <col min="10259" max="10261" width="9.140625" style="753" customWidth="1"/>
    <col min="10262" max="10496" width="9.140625" style="753"/>
    <col min="10497" max="10497" width="7.28515625" style="753" customWidth="1"/>
    <col min="10498" max="10498" width="13.7109375" style="753" customWidth="1"/>
    <col min="10499" max="10499" width="8.28515625" style="753" customWidth="1"/>
    <col min="10500" max="10506" width="4.7109375" style="753" customWidth="1"/>
    <col min="10507" max="10509" width="4.28515625" style="753" customWidth="1"/>
    <col min="10510" max="10510" width="6.140625" style="753" customWidth="1"/>
    <col min="10511" max="10511" width="6" style="753" customWidth="1"/>
    <col min="10512" max="10512" width="12.28515625" style="753" customWidth="1"/>
    <col min="10513" max="10513" width="9.140625" style="753" customWidth="1"/>
    <col min="10514" max="10514" width="3.85546875" style="753" customWidth="1"/>
    <col min="10515" max="10517" width="9.140625" style="753" customWidth="1"/>
    <col min="10518" max="10752" width="9.140625" style="753"/>
    <col min="10753" max="10753" width="7.28515625" style="753" customWidth="1"/>
    <col min="10754" max="10754" width="13.7109375" style="753" customWidth="1"/>
    <col min="10755" max="10755" width="8.28515625" style="753" customWidth="1"/>
    <col min="10756" max="10762" width="4.7109375" style="753" customWidth="1"/>
    <col min="10763" max="10765" width="4.28515625" style="753" customWidth="1"/>
    <col min="10766" max="10766" width="6.140625" style="753" customWidth="1"/>
    <col min="10767" max="10767" width="6" style="753" customWidth="1"/>
    <col min="10768" max="10768" width="12.28515625" style="753" customWidth="1"/>
    <col min="10769" max="10769" width="9.140625" style="753" customWidth="1"/>
    <col min="10770" max="10770" width="3.85546875" style="753" customWidth="1"/>
    <col min="10771" max="10773" width="9.140625" style="753" customWidth="1"/>
    <col min="10774" max="11008" width="9.140625" style="753"/>
    <col min="11009" max="11009" width="7.28515625" style="753" customWidth="1"/>
    <col min="11010" max="11010" width="13.7109375" style="753" customWidth="1"/>
    <col min="11011" max="11011" width="8.28515625" style="753" customWidth="1"/>
    <col min="11012" max="11018" width="4.7109375" style="753" customWidth="1"/>
    <col min="11019" max="11021" width="4.28515625" style="753" customWidth="1"/>
    <col min="11022" max="11022" width="6.140625" style="753" customWidth="1"/>
    <col min="11023" max="11023" width="6" style="753" customWidth="1"/>
    <col min="11024" max="11024" width="12.28515625" style="753" customWidth="1"/>
    <col min="11025" max="11025" width="9.140625" style="753" customWidth="1"/>
    <col min="11026" max="11026" width="3.85546875" style="753" customWidth="1"/>
    <col min="11027" max="11029" width="9.140625" style="753" customWidth="1"/>
    <col min="11030" max="11264" width="9.140625" style="753"/>
    <col min="11265" max="11265" width="7.28515625" style="753" customWidth="1"/>
    <col min="11266" max="11266" width="13.7109375" style="753" customWidth="1"/>
    <col min="11267" max="11267" width="8.28515625" style="753" customWidth="1"/>
    <col min="11268" max="11274" width="4.7109375" style="753" customWidth="1"/>
    <col min="11275" max="11277" width="4.28515625" style="753" customWidth="1"/>
    <col min="11278" max="11278" width="6.140625" style="753" customWidth="1"/>
    <col min="11279" max="11279" width="6" style="753" customWidth="1"/>
    <col min="11280" max="11280" width="12.28515625" style="753" customWidth="1"/>
    <col min="11281" max="11281" width="9.140625" style="753" customWidth="1"/>
    <col min="11282" max="11282" width="3.85546875" style="753" customWidth="1"/>
    <col min="11283" max="11285" width="9.140625" style="753" customWidth="1"/>
    <col min="11286" max="11520" width="9.140625" style="753"/>
    <col min="11521" max="11521" width="7.28515625" style="753" customWidth="1"/>
    <col min="11522" max="11522" width="13.7109375" style="753" customWidth="1"/>
    <col min="11523" max="11523" width="8.28515625" style="753" customWidth="1"/>
    <col min="11524" max="11530" width="4.7109375" style="753" customWidth="1"/>
    <col min="11531" max="11533" width="4.28515625" style="753" customWidth="1"/>
    <col min="11534" max="11534" width="6.140625" style="753" customWidth="1"/>
    <col min="11535" max="11535" width="6" style="753" customWidth="1"/>
    <col min="11536" max="11536" width="12.28515625" style="753" customWidth="1"/>
    <col min="11537" max="11537" width="9.140625" style="753" customWidth="1"/>
    <col min="11538" max="11538" width="3.85546875" style="753" customWidth="1"/>
    <col min="11539" max="11541" width="9.140625" style="753" customWidth="1"/>
    <col min="11542" max="11776" width="9.140625" style="753"/>
    <col min="11777" max="11777" width="7.28515625" style="753" customWidth="1"/>
    <col min="11778" max="11778" width="13.7109375" style="753" customWidth="1"/>
    <col min="11779" max="11779" width="8.28515625" style="753" customWidth="1"/>
    <col min="11780" max="11786" width="4.7109375" style="753" customWidth="1"/>
    <col min="11787" max="11789" width="4.28515625" style="753" customWidth="1"/>
    <col min="11790" max="11790" width="6.140625" style="753" customWidth="1"/>
    <col min="11791" max="11791" width="6" style="753" customWidth="1"/>
    <col min="11792" max="11792" width="12.28515625" style="753" customWidth="1"/>
    <col min="11793" max="11793" width="9.140625" style="753" customWidth="1"/>
    <col min="11794" max="11794" width="3.85546875" style="753" customWidth="1"/>
    <col min="11795" max="11797" width="9.140625" style="753" customWidth="1"/>
    <col min="11798" max="12032" width="9.140625" style="753"/>
    <col min="12033" max="12033" width="7.28515625" style="753" customWidth="1"/>
    <col min="12034" max="12034" width="13.7109375" style="753" customWidth="1"/>
    <col min="12035" max="12035" width="8.28515625" style="753" customWidth="1"/>
    <col min="12036" max="12042" width="4.7109375" style="753" customWidth="1"/>
    <col min="12043" max="12045" width="4.28515625" style="753" customWidth="1"/>
    <col min="12046" max="12046" width="6.140625" style="753" customWidth="1"/>
    <col min="12047" max="12047" width="6" style="753" customWidth="1"/>
    <col min="12048" max="12048" width="12.28515625" style="753" customWidth="1"/>
    <col min="12049" max="12049" width="9.140625" style="753" customWidth="1"/>
    <col min="12050" max="12050" width="3.85546875" style="753" customWidth="1"/>
    <col min="12051" max="12053" width="9.140625" style="753" customWidth="1"/>
    <col min="12054" max="12288" width="9.140625" style="753"/>
    <col min="12289" max="12289" width="7.28515625" style="753" customWidth="1"/>
    <col min="12290" max="12290" width="13.7109375" style="753" customWidth="1"/>
    <col min="12291" max="12291" width="8.28515625" style="753" customWidth="1"/>
    <col min="12292" max="12298" width="4.7109375" style="753" customWidth="1"/>
    <col min="12299" max="12301" width="4.28515625" style="753" customWidth="1"/>
    <col min="12302" max="12302" width="6.140625" style="753" customWidth="1"/>
    <col min="12303" max="12303" width="6" style="753" customWidth="1"/>
    <col min="12304" max="12304" width="12.28515625" style="753" customWidth="1"/>
    <col min="12305" max="12305" width="9.140625" style="753" customWidth="1"/>
    <col min="12306" max="12306" width="3.85546875" style="753" customWidth="1"/>
    <col min="12307" max="12309" width="9.140625" style="753" customWidth="1"/>
    <col min="12310" max="12544" width="9.140625" style="753"/>
    <col min="12545" max="12545" width="7.28515625" style="753" customWidth="1"/>
    <col min="12546" max="12546" width="13.7109375" style="753" customWidth="1"/>
    <col min="12547" max="12547" width="8.28515625" style="753" customWidth="1"/>
    <col min="12548" max="12554" width="4.7109375" style="753" customWidth="1"/>
    <col min="12555" max="12557" width="4.28515625" style="753" customWidth="1"/>
    <col min="12558" max="12558" width="6.140625" style="753" customWidth="1"/>
    <col min="12559" max="12559" width="6" style="753" customWidth="1"/>
    <col min="12560" max="12560" width="12.28515625" style="753" customWidth="1"/>
    <col min="12561" max="12561" width="9.140625" style="753" customWidth="1"/>
    <col min="12562" max="12562" width="3.85546875" style="753" customWidth="1"/>
    <col min="12563" max="12565" width="9.140625" style="753" customWidth="1"/>
    <col min="12566" max="12800" width="9.140625" style="753"/>
    <col min="12801" max="12801" width="7.28515625" style="753" customWidth="1"/>
    <col min="12802" max="12802" width="13.7109375" style="753" customWidth="1"/>
    <col min="12803" max="12803" width="8.28515625" style="753" customWidth="1"/>
    <col min="12804" max="12810" width="4.7109375" style="753" customWidth="1"/>
    <col min="12811" max="12813" width="4.28515625" style="753" customWidth="1"/>
    <col min="12814" max="12814" width="6.140625" style="753" customWidth="1"/>
    <col min="12815" max="12815" width="6" style="753" customWidth="1"/>
    <col min="12816" max="12816" width="12.28515625" style="753" customWidth="1"/>
    <col min="12817" max="12817" width="9.140625" style="753" customWidth="1"/>
    <col min="12818" max="12818" width="3.85546875" style="753" customWidth="1"/>
    <col min="12819" max="12821" width="9.140625" style="753" customWidth="1"/>
    <col min="12822" max="13056" width="9.140625" style="753"/>
    <col min="13057" max="13057" width="7.28515625" style="753" customWidth="1"/>
    <col min="13058" max="13058" width="13.7109375" style="753" customWidth="1"/>
    <col min="13059" max="13059" width="8.28515625" style="753" customWidth="1"/>
    <col min="13060" max="13066" width="4.7109375" style="753" customWidth="1"/>
    <col min="13067" max="13069" width="4.28515625" style="753" customWidth="1"/>
    <col min="13070" max="13070" width="6.140625" style="753" customWidth="1"/>
    <col min="13071" max="13071" width="6" style="753" customWidth="1"/>
    <col min="13072" max="13072" width="12.28515625" style="753" customWidth="1"/>
    <col min="13073" max="13073" width="9.140625" style="753" customWidth="1"/>
    <col min="13074" max="13074" width="3.85546875" style="753" customWidth="1"/>
    <col min="13075" max="13077" width="9.140625" style="753" customWidth="1"/>
    <col min="13078" max="13312" width="9.140625" style="753"/>
    <col min="13313" max="13313" width="7.28515625" style="753" customWidth="1"/>
    <col min="13314" max="13314" width="13.7109375" style="753" customWidth="1"/>
    <col min="13315" max="13315" width="8.28515625" style="753" customWidth="1"/>
    <col min="13316" max="13322" width="4.7109375" style="753" customWidth="1"/>
    <col min="13323" max="13325" width="4.28515625" style="753" customWidth="1"/>
    <col min="13326" max="13326" width="6.140625" style="753" customWidth="1"/>
    <col min="13327" max="13327" width="6" style="753" customWidth="1"/>
    <col min="13328" max="13328" width="12.28515625" style="753" customWidth="1"/>
    <col min="13329" max="13329" width="9.140625" style="753" customWidth="1"/>
    <col min="13330" max="13330" width="3.85546875" style="753" customWidth="1"/>
    <col min="13331" max="13333" width="9.140625" style="753" customWidth="1"/>
    <col min="13334" max="13568" width="9.140625" style="753"/>
    <col min="13569" max="13569" width="7.28515625" style="753" customWidth="1"/>
    <col min="13570" max="13570" width="13.7109375" style="753" customWidth="1"/>
    <col min="13571" max="13571" width="8.28515625" style="753" customWidth="1"/>
    <col min="13572" max="13578" width="4.7109375" style="753" customWidth="1"/>
    <col min="13579" max="13581" width="4.28515625" style="753" customWidth="1"/>
    <col min="13582" max="13582" width="6.140625" style="753" customWidth="1"/>
    <col min="13583" max="13583" width="6" style="753" customWidth="1"/>
    <col min="13584" max="13584" width="12.28515625" style="753" customWidth="1"/>
    <col min="13585" max="13585" width="9.140625" style="753" customWidth="1"/>
    <col min="13586" max="13586" width="3.85546875" style="753" customWidth="1"/>
    <col min="13587" max="13589" width="9.140625" style="753" customWidth="1"/>
    <col min="13590" max="13824" width="9.140625" style="753"/>
    <col min="13825" max="13825" width="7.28515625" style="753" customWidth="1"/>
    <col min="13826" max="13826" width="13.7109375" style="753" customWidth="1"/>
    <col min="13827" max="13827" width="8.28515625" style="753" customWidth="1"/>
    <col min="13828" max="13834" width="4.7109375" style="753" customWidth="1"/>
    <col min="13835" max="13837" width="4.28515625" style="753" customWidth="1"/>
    <col min="13838" max="13838" width="6.140625" style="753" customWidth="1"/>
    <col min="13839" max="13839" width="6" style="753" customWidth="1"/>
    <col min="13840" max="13840" width="12.28515625" style="753" customWidth="1"/>
    <col min="13841" max="13841" width="9.140625" style="753" customWidth="1"/>
    <col min="13842" max="13842" width="3.85546875" style="753" customWidth="1"/>
    <col min="13843" max="13845" width="9.140625" style="753" customWidth="1"/>
    <col min="13846" max="14080" width="9.140625" style="753"/>
    <col min="14081" max="14081" width="7.28515625" style="753" customWidth="1"/>
    <col min="14082" max="14082" width="13.7109375" style="753" customWidth="1"/>
    <col min="14083" max="14083" width="8.28515625" style="753" customWidth="1"/>
    <col min="14084" max="14090" width="4.7109375" style="753" customWidth="1"/>
    <col min="14091" max="14093" width="4.28515625" style="753" customWidth="1"/>
    <col min="14094" max="14094" width="6.140625" style="753" customWidth="1"/>
    <col min="14095" max="14095" width="6" style="753" customWidth="1"/>
    <col min="14096" max="14096" width="12.28515625" style="753" customWidth="1"/>
    <col min="14097" max="14097" width="9.140625" style="753" customWidth="1"/>
    <col min="14098" max="14098" width="3.85546875" style="753" customWidth="1"/>
    <col min="14099" max="14101" width="9.140625" style="753" customWidth="1"/>
    <col min="14102" max="14336" width="9.140625" style="753"/>
    <col min="14337" max="14337" width="7.28515625" style="753" customWidth="1"/>
    <col min="14338" max="14338" width="13.7109375" style="753" customWidth="1"/>
    <col min="14339" max="14339" width="8.28515625" style="753" customWidth="1"/>
    <col min="14340" max="14346" width="4.7109375" style="753" customWidth="1"/>
    <col min="14347" max="14349" width="4.28515625" style="753" customWidth="1"/>
    <col min="14350" max="14350" width="6.140625" style="753" customWidth="1"/>
    <col min="14351" max="14351" width="6" style="753" customWidth="1"/>
    <col min="14352" max="14352" width="12.28515625" style="753" customWidth="1"/>
    <col min="14353" max="14353" width="9.140625" style="753" customWidth="1"/>
    <col min="14354" max="14354" width="3.85546875" style="753" customWidth="1"/>
    <col min="14355" max="14357" width="9.140625" style="753" customWidth="1"/>
    <col min="14358" max="14592" width="9.140625" style="753"/>
    <col min="14593" max="14593" width="7.28515625" style="753" customWidth="1"/>
    <col min="14594" max="14594" width="13.7109375" style="753" customWidth="1"/>
    <col min="14595" max="14595" width="8.28515625" style="753" customWidth="1"/>
    <col min="14596" max="14602" width="4.7109375" style="753" customWidth="1"/>
    <col min="14603" max="14605" width="4.28515625" style="753" customWidth="1"/>
    <col min="14606" max="14606" width="6.140625" style="753" customWidth="1"/>
    <col min="14607" max="14607" width="6" style="753" customWidth="1"/>
    <col min="14608" max="14608" width="12.28515625" style="753" customWidth="1"/>
    <col min="14609" max="14609" width="9.140625" style="753" customWidth="1"/>
    <col min="14610" max="14610" width="3.85546875" style="753" customWidth="1"/>
    <col min="14611" max="14613" width="9.140625" style="753" customWidth="1"/>
    <col min="14614" max="14848" width="9.140625" style="753"/>
    <col min="14849" max="14849" width="7.28515625" style="753" customWidth="1"/>
    <col min="14850" max="14850" width="13.7109375" style="753" customWidth="1"/>
    <col min="14851" max="14851" width="8.28515625" style="753" customWidth="1"/>
    <col min="14852" max="14858" width="4.7109375" style="753" customWidth="1"/>
    <col min="14859" max="14861" width="4.28515625" style="753" customWidth="1"/>
    <col min="14862" max="14862" width="6.140625" style="753" customWidth="1"/>
    <col min="14863" max="14863" width="6" style="753" customWidth="1"/>
    <col min="14864" max="14864" width="12.28515625" style="753" customWidth="1"/>
    <col min="14865" max="14865" width="9.140625" style="753" customWidth="1"/>
    <col min="14866" max="14866" width="3.85546875" style="753" customWidth="1"/>
    <col min="14867" max="14869" width="9.140625" style="753" customWidth="1"/>
    <col min="14870" max="15104" width="9.140625" style="753"/>
    <col min="15105" max="15105" width="7.28515625" style="753" customWidth="1"/>
    <col min="15106" max="15106" width="13.7109375" style="753" customWidth="1"/>
    <col min="15107" max="15107" width="8.28515625" style="753" customWidth="1"/>
    <col min="15108" max="15114" width="4.7109375" style="753" customWidth="1"/>
    <col min="15115" max="15117" width="4.28515625" style="753" customWidth="1"/>
    <col min="15118" max="15118" width="6.140625" style="753" customWidth="1"/>
    <col min="15119" max="15119" width="6" style="753" customWidth="1"/>
    <col min="15120" max="15120" width="12.28515625" style="753" customWidth="1"/>
    <col min="15121" max="15121" width="9.140625" style="753" customWidth="1"/>
    <col min="15122" max="15122" width="3.85546875" style="753" customWidth="1"/>
    <col min="15123" max="15125" width="9.140625" style="753" customWidth="1"/>
    <col min="15126" max="15360" width="9.140625" style="753"/>
    <col min="15361" max="15361" width="7.28515625" style="753" customWidth="1"/>
    <col min="15362" max="15362" width="13.7109375" style="753" customWidth="1"/>
    <col min="15363" max="15363" width="8.28515625" style="753" customWidth="1"/>
    <col min="15364" max="15370" width="4.7109375" style="753" customWidth="1"/>
    <col min="15371" max="15373" width="4.28515625" style="753" customWidth="1"/>
    <col min="15374" max="15374" width="6.140625" style="753" customWidth="1"/>
    <col min="15375" max="15375" width="6" style="753" customWidth="1"/>
    <col min="15376" max="15376" width="12.28515625" style="753" customWidth="1"/>
    <col min="15377" max="15377" width="9.140625" style="753" customWidth="1"/>
    <col min="15378" max="15378" width="3.85546875" style="753" customWidth="1"/>
    <col min="15379" max="15381" width="9.140625" style="753" customWidth="1"/>
    <col min="15382" max="15616" width="9.140625" style="753"/>
    <col min="15617" max="15617" width="7.28515625" style="753" customWidth="1"/>
    <col min="15618" max="15618" width="13.7109375" style="753" customWidth="1"/>
    <col min="15619" max="15619" width="8.28515625" style="753" customWidth="1"/>
    <col min="15620" max="15626" width="4.7109375" style="753" customWidth="1"/>
    <col min="15627" max="15629" width="4.28515625" style="753" customWidth="1"/>
    <col min="15630" max="15630" width="6.140625" style="753" customWidth="1"/>
    <col min="15631" max="15631" width="6" style="753" customWidth="1"/>
    <col min="15632" max="15632" width="12.28515625" style="753" customWidth="1"/>
    <col min="15633" max="15633" width="9.140625" style="753" customWidth="1"/>
    <col min="15634" max="15634" width="3.85546875" style="753" customWidth="1"/>
    <col min="15635" max="15637" width="9.140625" style="753" customWidth="1"/>
    <col min="15638" max="15872" width="9.140625" style="753"/>
    <col min="15873" max="15873" width="7.28515625" style="753" customWidth="1"/>
    <col min="15874" max="15874" width="13.7109375" style="753" customWidth="1"/>
    <col min="15875" max="15875" width="8.28515625" style="753" customWidth="1"/>
    <col min="15876" max="15882" width="4.7109375" style="753" customWidth="1"/>
    <col min="15883" max="15885" width="4.28515625" style="753" customWidth="1"/>
    <col min="15886" max="15886" width="6.140625" style="753" customWidth="1"/>
    <col min="15887" max="15887" width="6" style="753" customWidth="1"/>
    <col min="15888" max="15888" width="12.28515625" style="753" customWidth="1"/>
    <col min="15889" max="15889" width="9.140625" style="753" customWidth="1"/>
    <col min="15890" max="15890" width="3.85546875" style="753" customWidth="1"/>
    <col min="15891" max="15893" width="9.140625" style="753" customWidth="1"/>
    <col min="15894" max="16128" width="9.140625" style="753"/>
    <col min="16129" max="16129" width="7.28515625" style="753" customWidth="1"/>
    <col min="16130" max="16130" width="13.7109375" style="753" customWidth="1"/>
    <col min="16131" max="16131" width="8.28515625" style="753" customWidth="1"/>
    <col min="16132" max="16138" width="4.7109375" style="753" customWidth="1"/>
    <col min="16139" max="16141" width="4.28515625" style="753" customWidth="1"/>
    <col min="16142" max="16142" width="6.140625" style="753" customWidth="1"/>
    <col min="16143" max="16143" width="6" style="753" customWidth="1"/>
    <col min="16144" max="16144" width="12.28515625" style="753" customWidth="1"/>
    <col min="16145" max="16145" width="9.140625" style="753" customWidth="1"/>
    <col min="16146" max="16146" width="3.85546875" style="753" customWidth="1"/>
    <col min="16147" max="16149" width="9.140625" style="753" customWidth="1"/>
    <col min="16150" max="16384" width="9.140625" style="753"/>
  </cols>
  <sheetData>
    <row r="1" spans="1:20" ht="20.25" x14ac:dyDescent="0.3">
      <c r="A1" s="752" t="s">
        <v>1</v>
      </c>
      <c r="C1" s="754" t="s">
        <v>645</v>
      </c>
      <c r="O1" s="754" t="str">
        <f ca="1">MID(CELL("filename",A1),FIND("]",CELL("filename",A1))+1,255)</f>
        <v>Ob2</v>
      </c>
    </row>
    <row r="2" spans="1:20" ht="13.5" thickBot="1" x14ac:dyDescent="0.25">
      <c r="Q2" s="753" t="s">
        <v>446</v>
      </c>
    </row>
    <row r="3" spans="1:20" ht="18.75" thickBot="1" x14ac:dyDescent="0.3">
      <c r="B3" s="755" t="s">
        <v>646</v>
      </c>
      <c r="C3" s="1010" t="str">
        <f>Fältkort!H89</f>
        <v>Vårkorn</v>
      </c>
      <c r="D3" s="1011"/>
      <c r="E3" s="1012"/>
      <c r="L3" s="756" t="s">
        <v>647</v>
      </c>
      <c r="Q3" s="753" t="s">
        <v>249</v>
      </c>
    </row>
    <row r="4" spans="1:20" x14ac:dyDescent="0.2">
      <c r="Q4" s="753" t="s">
        <v>246</v>
      </c>
    </row>
    <row r="5" spans="1:20" x14ac:dyDescent="0.2">
      <c r="A5" s="1013" t="s">
        <v>648</v>
      </c>
      <c r="B5" s="1013"/>
      <c r="C5" s="1014" t="s">
        <v>155</v>
      </c>
      <c r="D5" s="1015"/>
      <c r="E5" s="1016"/>
      <c r="F5" s="1017" t="s">
        <v>649</v>
      </c>
      <c r="G5" s="1018"/>
      <c r="H5" s="1019"/>
      <c r="I5" s="1020" t="s">
        <v>46</v>
      </c>
      <c r="J5" s="1020"/>
      <c r="K5" s="1020"/>
      <c r="L5" s="1017"/>
      <c r="M5" s="1020" t="s">
        <v>650</v>
      </c>
      <c r="N5" s="1020"/>
      <c r="Q5" s="753" t="s">
        <v>248</v>
      </c>
    </row>
    <row r="6" spans="1:20" ht="25.5" customHeight="1" x14ac:dyDescent="0.25">
      <c r="A6" s="1021" t="str">
        <f>Fältkort!H91</f>
        <v>HUG066</v>
      </c>
      <c r="B6" s="1021"/>
      <c r="C6" s="1022" t="str">
        <f>Fältkort!H94</f>
        <v>M-658-2014</v>
      </c>
      <c r="D6" s="1023"/>
      <c r="E6" s="1024"/>
      <c r="F6" s="1025"/>
      <c r="G6" s="1026"/>
      <c r="H6" s="1027"/>
      <c r="I6" s="1025"/>
      <c r="J6" s="1026"/>
      <c r="K6" s="1026"/>
      <c r="L6" s="1026"/>
      <c r="M6" s="1028"/>
      <c r="N6" s="1028"/>
      <c r="Q6" s="753" t="s">
        <v>250</v>
      </c>
    </row>
    <row r="7" spans="1:20" ht="25.5" customHeight="1" x14ac:dyDescent="0.2">
      <c r="D7" s="1009" t="s">
        <v>1381</v>
      </c>
      <c r="E7" s="1009"/>
      <c r="F7" s="1009"/>
      <c r="G7" s="1009"/>
      <c r="H7" s="1009"/>
      <c r="I7" s="1009"/>
      <c r="J7" s="1009"/>
      <c r="K7" s="1009"/>
      <c r="L7" s="1009"/>
      <c r="M7" s="1009"/>
      <c r="N7" s="1009"/>
      <c r="Q7" s="753" t="s">
        <v>247</v>
      </c>
    </row>
    <row r="8" spans="1:20" x14ac:dyDescent="0.2">
      <c r="B8" s="757" t="s">
        <v>651</v>
      </c>
      <c r="C8" s="758" t="s">
        <v>652</v>
      </c>
      <c r="D8" s="1029" t="s">
        <v>653</v>
      </c>
      <c r="E8" s="1030"/>
      <c r="F8" s="1030"/>
      <c r="G8" s="1030"/>
      <c r="H8" s="1030"/>
      <c r="I8" s="1030"/>
      <c r="J8" s="1030"/>
      <c r="K8" s="1030"/>
      <c r="L8" s="1030"/>
      <c r="M8" s="1030"/>
      <c r="O8" s="753" t="s">
        <v>654</v>
      </c>
      <c r="Q8" s="753" t="s">
        <v>251</v>
      </c>
    </row>
    <row r="9" spans="1:20" ht="13.5" thickBot="1" x14ac:dyDescent="0.25">
      <c r="A9" s="759"/>
      <c r="B9" s="759"/>
      <c r="C9" s="760" t="s">
        <v>655</v>
      </c>
      <c r="D9" s="761">
        <v>1</v>
      </c>
      <c r="E9" s="761">
        <v>2</v>
      </c>
      <c r="F9" s="761">
        <v>3</v>
      </c>
      <c r="G9" s="761">
        <v>4</v>
      </c>
      <c r="H9" s="761">
        <v>5</v>
      </c>
      <c r="I9" s="761">
        <v>6</v>
      </c>
      <c r="J9" s="761">
        <v>7</v>
      </c>
      <c r="K9" s="761">
        <v>8</v>
      </c>
      <c r="L9" s="761">
        <v>9</v>
      </c>
      <c r="M9" s="761">
        <v>10</v>
      </c>
      <c r="N9" s="762" t="s">
        <v>656</v>
      </c>
      <c r="O9" s="761" t="s">
        <v>657</v>
      </c>
    </row>
    <row r="10" spans="1:20" x14ac:dyDescent="0.2">
      <c r="A10" s="763" t="s">
        <v>658</v>
      </c>
      <c r="B10" s="764" t="str">
        <f>IF(OR($C$3="Höstvete",$C$3="Vårvete",$C$3="Rågvete"),T10,IF($C$3="Råg",T15,IF(OR($C$3="Vårkorn",$C$3="Höstkorn"),T20,T25)))</f>
        <v>Mjöldagg</v>
      </c>
      <c r="C10" s="765">
        <v>1</v>
      </c>
      <c r="D10" s="766"/>
      <c r="E10" s="766"/>
      <c r="F10" s="766"/>
      <c r="G10" s="766"/>
      <c r="H10" s="766"/>
      <c r="I10" s="766"/>
      <c r="J10" s="766"/>
      <c r="K10" s="766"/>
      <c r="L10" s="766"/>
      <c r="M10" s="766"/>
      <c r="N10" s="767">
        <f>SUM(D10:M10)/(10-O$23)</f>
        <v>0</v>
      </c>
      <c r="O10" s="768"/>
      <c r="Q10" s="753" t="s">
        <v>659</v>
      </c>
      <c r="R10" s="753">
        <v>1</v>
      </c>
      <c r="S10" s="769" t="s">
        <v>660</v>
      </c>
      <c r="T10" s="764" t="s">
        <v>661</v>
      </c>
    </row>
    <row r="11" spans="1:20" x14ac:dyDescent="0.2">
      <c r="A11" s="770" t="s">
        <v>662</v>
      </c>
      <c r="B11" s="769" t="str">
        <f>IF(OR($C$3="Höstvete",$C$3="Vårvete",$C$3="Rågvete"),S10,IF($C$3="Råg",S15,IF(OR($C$3="Vårkorn",$C$3="Höstkorn"),S20,S25)))</f>
        <v>ERYSGR</v>
      </c>
      <c r="C11" s="771">
        <v>2</v>
      </c>
      <c r="D11" s="772"/>
      <c r="E11" s="772"/>
      <c r="F11" s="772"/>
      <c r="G11" s="772"/>
      <c r="H11" s="772"/>
      <c r="I11" s="772"/>
      <c r="J11" s="772"/>
      <c r="K11" s="772"/>
      <c r="L11" s="772"/>
      <c r="M11" s="772"/>
      <c r="N11" s="773">
        <f>SUM(D11:M11)/(10-O$24)</f>
        <v>0</v>
      </c>
      <c r="O11" s="768"/>
      <c r="Q11" s="753" t="s">
        <v>659</v>
      </c>
      <c r="R11" s="753">
        <v>2</v>
      </c>
      <c r="S11" s="769" t="s">
        <v>663</v>
      </c>
      <c r="T11" s="764" t="s">
        <v>664</v>
      </c>
    </row>
    <row r="12" spans="1:20" ht="12.75" customHeight="1" x14ac:dyDescent="0.2">
      <c r="A12" s="1031">
        <f>Led!Q95</f>
        <v>4</v>
      </c>
      <c r="B12" s="769"/>
      <c r="C12" s="771">
        <v>3</v>
      </c>
      <c r="D12" s="772"/>
      <c r="E12" s="772"/>
      <c r="F12" s="772"/>
      <c r="G12" s="772"/>
      <c r="H12" s="772"/>
      <c r="I12" s="772"/>
      <c r="J12" s="772"/>
      <c r="K12" s="772"/>
      <c r="L12" s="772"/>
      <c r="M12" s="772"/>
      <c r="N12" s="773">
        <f>SUM(D12:M12)/(10-O$25)</f>
        <v>0</v>
      </c>
      <c r="O12" s="768"/>
      <c r="Q12" s="753" t="s">
        <v>659</v>
      </c>
      <c r="R12" s="753">
        <v>3</v>
      </c>
      <c r="S12" s="769" t="s">
        <v>665</v>
      </c>
      <c r="T12" s="764" t="s">
        <v>666</v>
      </c>
    </row>
    <row r="13" spans="1:20" ht="13.5" customHeight="1" thickBot="1" x14ac:dyDescent="0.25">
      <c r="A13" s="1032"/>
      <c r="B13" s="774"/>
      <c r="C13" s="775">
        <v>4</v>
      </c>
      <c r="D13" s="776"/>
      <c r="E13" s="776"/>
      <c r="F13" s="776"/>
      <c r="G13" s="776"/>
      <c r="H13" s="776"/>
      <c r="I13" s="776"/>
      <c r="J13" s="776"/>
      <c r="K13" s="776"/>
      <c r="L13" s="776"/>
      <c r="M13" s="776"/>
      <c r="N13" s="777">
        <f>SUM(D13:M13)/(10-O$26)</f>
        <v>0</v>
      </c>
      <c r="O13" s="768"/>
      <c r="Q13" s="753" t="s">
        <v>659</v>
      </c>
      <c r="R13" s="753">
        <v>4</v>
      </c>
      <c r="S13" s="753" t="s">
        <v>667</v>
      </c>
      <c r="T13" s="764" t="s">
        <v>668</v>
      </c>
    </row>
    <row r="14" spans="1:20" x14ac:dyDescent="0.2">
      <c r="B14" s="764" t="str">
        <f>IF(OR($C$3="Höstvete",$C$3="Vårvete",$C$3="Rågvete"),T11,IF($C$3="Råg",T16,IF(OR($C$3="Vårkorn",$C$3="Höstkorn"),T21,T26)))</f>
        <v>Kornrost</v>
      </c>
      <c r="C14" s="765">
        <v>1</v>
      </c>
      <c r="D14" s="766"/>
      <c r="E14" s="766"/>
      <c r="F14" s="766"/>
      <c r="G14" s="766"/>
      <c r="H14" s="766"/>
      <c r="I14" s="766"/>
      <c r="J14" s="766"/>
      <c r="K14" s="766"/>
      <c r="L14" s="766"/>
      <c r="M14" s="766"/>
      <c r="N14" s="767">
        <f>SUM(D14:M14)/(10-O$23)</f>
        <v>0</v>
      </c>
      <c r="O14" s="768"/>
      <c r="Q14" s="753" t="s">
        <v>659</v>
      </c>
      <c r="R14" s="753">
        <v>5</v>
      </c>
      <c r="S14" s="769" t="s">
        <v>669</v>
      </c>
      <c r="T14" s="764" t="s">
        <v>670</v>
      </c>
    </row>
    <row r="15" spans="1:20" x14ac:dyDescent="0.2">
      <c r="B15" s="769" t="str">
        <f>IF(OR($C$3="Höstvete",$C$3="Vårvete",$C$3="Rågvete"),S11,IF($C$3="Råg",S16,IF(OR($C$3="Vårkorn",$C$3="Höstkorn"),S21,S26)))</f>
        <v>PUCCHD</v>
      </c>
      <c r="C15" s="771">
        <v>2</v>
      </c>
      <c r="D15" s="772"/>
      <c r="E15" s="772"/>
      <c r="F15" s="772"/>
      <c r="G15" s="772"/>
      <c r="H15" s="772"/>
      <c r="I15" s="772"/>
      <c r="J15" s="772"/>
      <c r="K15" s="772"/>
      <c r="L15" s="772"/>
      <c r="M15" s="772"/>
      <c r="N15" s="773">
        <f>SUM(D15:M15)/(10-O$24)</f>
        <v>0</v>
      </c>
      <c r="O15" s="768"/>
      <c r="Q15" s="753" t="s">
        <v>246</v>
      </c>
      <c r="R15" s="753">
        <v>1</v>
      </c>
      <c r="S15" s="753" t="s">
        <v>660</v>
      </c>
      <c r="T15" s="757" t="s">
        <v>661</v>
      </c>
    </row>
    <row r="16" spans="1:20" x14ac:dyDescent="0.2">
      <c r="B16" s="769"/>
      <c r="C16" s="771">
        <v>3</v>
      </c>
      <c r="D16" s="772"/>
      <c r="E16" s="772"/>
      <c r="F16" s="772"/>
      <c r="G16" s="772"/>
      <c r="H16" s="772"/>
      <c r="I16" s="772"/>
      <c r="J16" s="772"/>
      <c r="K16" s="772"/>
      <c r="L16" s="772"/>
      <c r="M16" s="772"/>
      <c r="N16" s="773">
        <f>SUM(D16:M16)/(10-O$25)</f>
        <v>0</v>
      </c>
      <c r="O16" s="768"/>
      <c r="Q16" s="753" t="s">
        <v>246</v>
      </c>
      <c r="R16" s="753">
        <v>2</v>
      </c>
      <c r="S16" s="753" t="s">
        <v>663</v>
      </c>
      <c r="T16" s="757" t="s">
        <v>664</v>
      </c>
    </row>
    <row r="17" spans="1:20" ht="13.5" thickBot="1" x14ac:dyDescent="0.25">
      <c r="B17" s="778"/>
      <c r="C17" s="775">
        <v>4</v>
      </c>
      <c r="D17" s="776"/>
      <c r="E17" s="776"/>
      <c r="F17" s="776"/>
      <c r="G17" s="776"/>
      <c r="H17" s="776"/>
      <c r="I17" s="776"/>
      <c r="J17" s="776"/>
      <c r="K17" s="776"/>
      <c r="L17" s="776"/>
      <c r="M17" s="776"/>
      <c r="N17" s="777">
        <f>SUM(D17:M17)/(10-O$26)</f>
        <v>0</v>
      </c>
      <c r="O17" s="768"/>
      <c r="Q17" s="753" t="s">
        <v>246</v>
      </c>
      <c r="R17" s="753">
        <v>3</v>
      </c>
      <c r="S17" s="769" t="s">
        <v>671</v>
      </c>
      <c r="T17" s="764" t="s">
        <v>672</v>
      </c>
    </row>
    <row r="18" spans="1:20" x14ac:dyDescent="0.2">
      <c r="B18" s="764" t="str">
        <f>IF(OR($C$3="Höstvete",$C$3="Vårvete",$C$3="Rågvete"),T12,IF($C$3="Råg",T17,IF(OR($C$3="Vårkorn",$C$3="Höstkorn"),T22,T27)))</f>
        <v>Sköldfläcksjuka</v>
      </c>
      <c r="C18" s="771">
        <v>1</v>
      </c>
      <c r="D18" s="766"/>
      <c r="E18" s="772"/>
      <c r="F18" s="772"/>
      <c r="G18" s="772"/>
      <c r="H18" s="772"/>
      <c r="I18" s="772"/>
      <c r="J18" s="772"/>
      <c r="K18" s="772"/>
      <c r="L18" s="772"/>
      <c r="M18" s="772"/>
      <c r="N18" s="767">
        <f>SUM(D18:M18)/(10-O$23)</f>
        <v>0</v>
      </c>
      <c r="O18" s="768"/>
      <c r="Q18" s="753" t="s">
        <v>246</v>
      </c>
      <c r="R18" s="753">
        <v>4</v>
      </c>
      <c r="S18" s="769" t="s">
        <v>667</v>
      </c>
      <c r="T18" s="764" t="s">
        <v>668</v>
      </c>
    </row>
    <row r="19" spans="1:20" x14ac:dyDescent="0.2">
      <c r="B19" s="769" t="str">
        <f>IF(OR($C$3="Höstvete",$C$3="Vårvete",$C$3="Rågvete"),S12,IF($C$3="Råg",S17,IF(OR($C$3="Vårkorn",$C$3="Höstkorn"),S22,S27)))</f>
        <v>RHYNSE</v>
      </c>
      <c r="C19" s="771">
        <v>2</v>
      </c>
      <c r="D19" s="772"/>
      <c r="E19" s="772"/>
      <c r="F19" s="772"/>
      <c r="G19" s="772"/>
      <c r="H19" s="772"/>
      <c r="I19" s="772"/>
      <c r="J19" s="772"/>
      <c r="K19" s="772"/>
      <c r="L19" s="772"/>
      <c r="M19" s="772"/>
      <c r="N19" s="773">
        <f>SUM(D19:M19)/(10-O$24)</f>
        <v>0</v>
      </c>
      <c r="O19" s="768"/>
      <c r="S19" s="753" t="s">
        <v>673</v>
      </c>
      <c r="T19" s="753" t="s">
        <v>673</v>
      </c>
    </row>
    <row r="20" spans="1:20" x14ac:dyDescent="0.2">
      <c r="B20" s="769"/>
      <c r="C20" s="771">
        <v>3</v>
      </c>
      <c r="D20" s="772"/>
      <c r="E20" s="772"/>
      <c r="F20" s="772"/>
      <c r="G20" s="772"/>
      <c r="H20" s="772"/>
      <c r="I20" s="772"/>
      <c r="J20" s="772"/>
      <c r="K20" s="772"/>
      <c r="L20" s="772"/>
      <c r="M20" s="772"/>
      <c r="N20" s="773">
        <f>SUM(D20:M20)/(10-O$25)</f>
        <v>0</v>
      </c>
      <c r="O20" s="768"/>
      <c r="Q20" s="753" t="s">
        <v>674</v>
      </c>
      <c r="R20" s="753">
        <v>1</v>
      </c>
      <c r="S20" s="769" t="s">
        <v>660</v>
      </c>
      <c r="T20" s="764" t="s">
        <v>661</v>
      </c>
    </row>
    <row r="21" spans="1:20" ht="13.5" thickBot="1" x14ac:dyDescent="0.25">
      <c r="B21" s="778"/>
      <c r="C21" s="775">
        <v>4</v>
      </c>
      <c r="D21" s="776"/>
      <c r="E21" s="776"/>
      <c r="F21" s="776"/>
      <c r="G21" s="776"/>
      <c r="H21" s="776"/>
      <c r="I21" s="776"/>
      <c r="J21" s="776"/>
      <c r="K21" s="776"/>
      <c r="L21" s="776"/>
      <c r="M21" s="776"/>
      <c r="N21" s="777">
        <f>SUM(D21:M21)/(10-O$26)</f>
        <v>0</v>
      </c>
      <c r="O21" s="768"/>
      <c r="Q21" s="753" t="s">
        <v>674</v>
      </c>
      <c r="R21" s="753">
        <v>2</v>
      </c>
      <c r="S21" s="769" t="s">
        <v>675</v>
      </c>
      <c r="T21" s="764" t="s">
        <v>676</v>
      </c>
    </row>
    <row r="22" spans="1:20" x14ac:dyDescent="0.2">
      <c r="B22" s="764" t="str">
        <f>IF(OR($C$3="Höstvete",$C$3="Vårvete",$C$3="Rågvete"),T13,IF($C$3="Råg",T18,IF(OR($C$3="Vårkorn",$C$3="Höstkorn"),T23,T28)))</f>
        <v>Bladfläcksjuka</v>
      </c>
      <c r="C22" s="771">
        <v>1</v>
      </c>
      <c r="D22" s="766"/>
      <c r="E22" s="772"/>
      <c r="F22" s="772"/>
      <c r="G22" s="772"/>
      <c r="H22" s="772"/>
      <c r="I22" s="772"/>
      <c r="J22" s="772"/>
      <c r="K22" s="772"/>
      <c r="L22" s="772"/>
      <c r="M22" s="772"/>
      <c r="N22" s="767">
        <f>SUM(D22:M22)/(10-O$23)</f>
        <v>0</v>
      </c>
      <c r="O22" s="779">
        <f>COUNTIF(D22:M22,"=V")</f>
        <v>0</v>
      </c>
      <c r="Q22" s="753" t="s">
        <v>674</v>
      </c>
      <c r="R22" s="753">
        <v>3</v>
      </c>
      <c r="S22" s="769" t="s">
        <v>671</v>
      </c>
      <c r="T22" s="764" t="s">
        <v>672</v>
      </c>
    </row>
    <row r="23" spans="1:20" x14ac:dyDescent="0.2">
      <c r="B23" s="769" t="str">
        <f>IF(OR($C$3="Höstvete",$C$3="Vårvete",$C$3="Rågvete"),S13,IF($C$3="Råg",S18,IF(OR($C$3="Vårkorn",$C$3="Höstkorn"),S23,S28)))</f>
        <v>PYRNTE</v>
      </c>
      <c r="C23" s="771">
        <v>2</v>
      </c>
      <c r="D23" s="772"/>
      <c r="E23" s="772"/>
      <c r="F23" s="772"/>
      <c r="G23" s="772"/>
      <c r="H23" s="772"/>
      <c r="I23" s="772"/>
      <c r="J23" s="772"/>
      <c r="K23" s="772"/>
      <c r="L23" s="772"/>
      <c r="M23" s="772"/>
      <c r="N23" s="773">
        <f>SUM(D23:M23)/(10-O$24)</f>
        <v>0</v>
      </c>
      <c r="O23" s="780">
        <f t="shared" ref="O23:O25" si="0">COUNTIF(D23:M23,"=V")</f>
        <v>0</v>
      </c>
      <c r="Q23" s="753" t="s">
        <v>674</v>
      </c>
      <c r="R23" s="753">
        <v>4</v>
      </c>
      <c r="S23" s="769" t="s">
        <v>677</v>
      </c>
      <c r="T23" s="764" t="s">
        <v>678</v>
      </c>
    </row>
    <row r="24" spans="1:20" x14ac:dyDescent="0.2">
      <c r="B24" s="769"/>
      <c r="C24" s="771">
        <v>3</v>
      </c>
      <c r="D24" s="772"/>
      <c r="E24" s="772"/>
      <c r="F24" s="772"/>
      <c r="G24" s="772"/>
      <c r="H24" s="772"/>
      <c r="I24" s="772"/>
      <c r="J24" s="772"/>
      <c r="K24" s="772"/>
      <c r="L24" s="772"/>
      <c r="M24" s="772"/>
      <c r="N24" s="773">
        <f>SUM(D24:M24)/(10-O$25)</f>
        <v>0</v>
      </c>
      <c r="O24" s="780">
        <f t="shared" si="0"/>
        <v>0</v>
      </c>
      <c r="S24" s="753" t="s">
        <v>673</v>
      </c>
      <c r="T24" s="753" t="s">
        <v>673</v>
      </c>
    </row>
    <row r="25" spans="1:20" ht="13.5" thickBot="1" x14ac:dyDescent="0.25">
      <c r="B25" s="778"/>
      <c r="C25" s="775">
        <v>4</v>
      </c>
      <c r="D25" s="776"/>
      <c r="E25" s="776"/>
      <c r="F25" s="776"/>
      <c r="G25" s="776"/>
      <c r="H25" s="776"/>
      <c r="I25" s="776"/>
      <c r="J25" s="776"/>
      <c r="K25" s="776"/>
      <c r="L25" s="776"/>
      <c r="M25" s="776"/>
      <c r="N25" s="777">
        <f>SUM(D25:M25)/(10-O$26)</f>
        <v>0</v>
      </c>
      <c r="O25" s="781">
        <f t="shared" si="0"/>
        <v>0</v>
      </c>
      <c r="Q25" s="753" t="s">
        <v>251</v>
      </c>
      <c r="R25" s="753">
        <v>1</v>
      </c>
      <c r="S25" s="769" t="s">
        <v>660</v>
      </c>
      <c r="T25" s="764" t="s">
        <v>661</v>
      </c>
    </row>
    <row r="26" spans="1:20" x14ac:dyDescent="0.2">
      <c r="B26" s="764" t="str">
        <f>IF(OR($C$3="Höstvete",$C$3="Vårvete",$C$3="Rågvete"),T14,IF($C$3="Råg",T19,IF(OR($C$3="Vårkorn",$C$3="Höstkorn"),T24,T29)))</f>
        <v xml:space="preserve">  </v>
      </c>
      <c r="C26" s="771">
        <v>1</v>
      </c>
      <c r="D26" s="772"/>
      <c r="E26" s="772"/>
      <c r="F26" s="772"/>
      <c r="G26" s="772"/>
      <c r="H26" s="772"/>
      <c r="I26" s="772"/>
      <c r="J26" s="772"/>
      <c r="K26" s="772"/>
      <c r="L26" s="772"/>
      <c r="M26" s="772"/>
      <c r="N26" s="767">
        <f>SUM(D26:M26)/(10-O$23)</f>
        <v>0</v>
      </c>
      <c r="O26" s="768"/>
      <c r="Q26" s="753" t="s">
        <v>251</v>
      </c>
      <c r="R26" s="753">
        <v>2</v>
      </c>
      <c r="S26" s="769" t="s">
        <v>679</v>
      </c>
      <c r="T26" s="764" t="s">
        <v>680</v>
      </c>
    </row>
    <row r="27" spans="1:20" x14ac:dyDescent="0.2">
      <c r="B27" s="769" t="str">
        <f>IF(OR($C$3="Höstvete",$C$3="Vårvete",$C$3="Rågvete"),S14,IF($C$3="Råg",S19,IF(OR($C$3="Vårkorn",$C$3="Höstkorn"),S24,S29)))</f>
        <v xml:space="preserve">  </v>
      </c>
      <c r="C27" s="771">
        <v>2</v>
      </c>
      <c r="D27" s="772"/>
      <c r="E27" s="772"/>
      <c r="F27" s="772"/>
      <c r="G27" s="772"/>
      <c r="H27" s="772"/>
      <c r="I27" s="772"/>
      <c r="J27" s="772"/>
      <c r="K27" s="772"/>
      <c r="L27" s="772"/>
      <c r="M27" s="772"/>
      <c r="N27" s="773">
        <f>SUM(D27:M27)/(10-O$24)</f>
        <v>0</v>
      </c>
      <c r="O27" s="768"/>
      <c r="Q27" s="753" t="s">
        <v>251</v>
      </c>
      <c r="R27" s="753">
        <v>3</v>
      </c>
      <c r="S27" s="769" t="s">
        <v>681</v>
      </c>
      <c r="T27" s="764" t="s">
        <v>678</v>
      </c>
    </row>
    <row r="28" spans="1:20" x14ac:dyDescent="0.2">
      <c r="B28" s="769"/>
      <c r="C28" s="771">
        <v>3</v>
      </c>
      <c r="D28" s="772"/>
      <c r="E28" s="772"/>
      <c r="F28" s="772"/>
      <c r="G28" s="772"/>
      <c r="H28" s="772"/>
      <c r="I28" s="772"/>
      <c r="J28" s="772"/>
      <c r="K28" s="772"/>
      <c r="L28" s="772"/>
      <c r="M28" s="772"/>
      <c r="N28" s="773">
        <f>SUM(D28:M28)/(10-O$25)</f>
        <v>0</v>
      </c>
      <c r="O28" s="768"/>
      <c r="Q28" s="753" t="s">
        <v>251</v>
      </c>
      <c r="R28" s="753">
        <v>4</v>
      </c>
      <c r="S28" s="769" t="s">
        <v>682</v>
      </c>
      <c r="T28" s="764" t="s">
        <v>683</v>
      </c>
    </row>
    <row r="29" spans="1:20" ht="13.5" thickBot="1" x14ac:dyDescent="0.25">
      <c r="A29" s="782"/>
      <c r="B29" s="783"/>
      <c r="C29" s="784">
        <v>4</v>
      </c>
      <c r="D29" s="785"/>
      <c r="E29" s="785"/>
      <c r="F29" s="785"/>
      <c r="G29" s="785"/>
      <c r="H29" s="785"/>
      <c r="I29" s="785"/>
      <c r="J29" s="785"/>
      <c r="K29" s="785"/>
      <c r="L29" s="785"/>
      <c r="M29" s="785"/>
      <c r="N29" s="777">
        <f>SUM(D29:M29)/(10-O$26)</f>
        <v>0</v>
      </c>
      <c r="O29" s="786"/>
      <c r="S29" s="753" t="s">
        <v>673</v>
      </c>
      <c r="T29" s="753" t="s">
        <v>673</v>
      </c>
    </row>
    <row r="30" spans="1:20" ht="13.5" thickTop="1" x14ac:dyDescent="0.2">
      <c r="A30" s="763" t="s">
        <v>684</v>
      </c>
      <c r="B30" s="764" t="str">
        <f>B10</f>
        <v>Mjöldagg</v>
      </c>
      <c r="C30" s="765">
        <v>1</v>
      </c>
      <c r="D30" s="766"/>
      <c r="E30" s="766"/>
      <c r="F30" s="766"/>
      <c r="G30" s="766"/>
      <c r="H30" s="766"/>
      <c r="I30" s="766"/>
      <c r="J30" s="766"/>
      <c r="K30" s="766"/>
      <c r="L30" s="766"/>
      <c r="M30" s="766"/>
      <c r="N30" s="767">
        <f>SUM(D30:M30)/(10-O$43)</f>
        <v>0</v>
      </c>
      <c r="O30" s="768"/>
    </row>
    <row r="31" spans="1:20" x14ac:dyDescent="0.2">
      <c r="A31" s="770" t="s">
        <v>662</v>
      </c>
      <c r="B31" s="769" t="str">
        <f>B11</f>
        <v>ERYSGR</v>
      </c>
      <c r="C31" s="771">
        <v>2</v>
      </c>
      <c r="D31" s="772"/>
      <c r="E31" s="772"/>
      <c r="F31" s="772"/>
      <c r="G31" s="772"/>
      <c r="H31" s="772"/>
      <c r="I31" s="772"/>
      <c r="J31" s="772"/>
      <c r="K31" s="772"/>
      <c r="L31" s="772"/>
      <c r="M31" s="772"/>
      <c r="N31" s="773">
        <f>SUM(D31:M31)/(10-O$44)</f>
        <v>0</v>
      </c>
      <c r="O31" s="768"/>
    </row>
    <row r="32" spans="1:20" ht="12.75" customHeight="1" x14ac:dyDescent="0.2">
      <c r="A32" s="1031">
        <f>Led!Q96</f>
        <v>13</v>
      </c>
      <c r="B32" s="769"/>
      <c r="C32" s="771">
        <v>3</v>
      </c>
      <c r="D32" s="772"/>
      <c r="E32" s="772"/>
      <c r="F32" s="772"/>
      <c r="G32" s="772"/>
      <c r="H32" s="772"/>
      <c r="I32" s="772"/>
      <c r="J32" s="772"/>
      <c r="K32" s="772"/>
      <c r="L32" s="772"/>
      <c r="M32" s="772"/>
      <c r="N32" s="773">
        <f>SUM(D32:M32)/(10-O$45)</f>
        <v>0</v>
      </c>
      <c r="O32" s="768"/>
    </row>
    <row r="33" spans="1:19" ht="13.5" customHeight="1" thickBot="1" x14ac:dyDescent="0.25">
      <c r="A33" s="1032"/>
      <c r="B33" s="774"/>
      <c r="C33" s="775">
        <v>4</v>
      </c>
      <c r="D33" s="776"/>
      <c r="E33" s="776"/>
      <c r="F33" s="776"/>
      <c r="G33" s="776"/>
      <c r="H33" s="776"/>
      <c r="I33" s="776"/>
      <c r="J33" s="776"/>
      <c r="K33" s="776"/>
      <c r="L33" s="776"/>
      <c r="M33" s="776"/>
      <c r="N33" s="777">
        <f>SUM(D33:M33)/(10-O$46)</f>
        <v>0</v>
      </c>
      <c r="O33" s="768"/>
    </row>
    <row r="34" spans="1:19" x14ac:dyDescent="0.2">
      <c r="B34" s="764" t="str">
        <f>B14</f>
        <v>Kornrost</v>
      </c>
      <c r="C34" s="765">
        <v>1</v>
      </c>
      <c r="D34" s="766"/>
      <c r="E34" s="766"/>
      <c r="F34" s="766"/>
      <c r="G34" s="766"/>
      <c r="H34" s="766"/>
      <c r="I34" s="766"/>
      <c r="J34" s="766"/>
      <c r="K34" s="766"/>
      <c r="L34" s="766"/>
      <c r="M34" s="766"/>
      <c r="N34" s="767">
        <f>SUM(D34:M34)/(10-O$43)</f>
        <v>0</v>
      </c>
      <c r="O34" s="768"/>
    </row>
    <row r="35" spans="1:19" x14ac:dyDescent="0.2">
      <c r="B35" s="769" t="str">
        <f>B15</f>
        <v>PUCCHD</v>
      </c>
      <c r="C35" s="771">
        <v>2</v>
      </c>
      <c r="D35" s="772"/>
      <c r="E35" s="772"/>
      <c r="F35" s="772"/>
      <c r="G35" s="772"/>
      <c r="H35" s="772"/>
      <c r="I35" s="772"/>
      <c r="J35" s="772"/>
      <c r="K35" s="772"/>
      <c r="L35" s="772"/>
      <c r="M35" s="772"/>
      <c r="N35" s="773">
        <f>SUM(D35:M35)/(10-O$44)</f>
        <v>0</v>
      </c>
      <c r="O35" s="768"/>
    </row>
    <row r="36" spans="1:19" x14ac:dyDescent="0.2">
      <c r="B36" s="769"/>
      <c r="C36" s="771">
        <v>3</v>
      </c>
      <c r="D36" s="772"/>
      <c r="E36" s="772"/>
      <c r="F36" s="772"/>
      <c r="G36" s="772"/>
      <c r="H36" s="772"/>
      <c r="I36" s="772"/>
      <c r="J36" s="772"/>
      <c r="K36" s="772"/>
      <c r="L36" s="772"/>
      <c r="M36" s="772"/>
      <c r="N36" s="773">
        <f>SUM(D36:M36)/(10-O$45)</f>
        <v>0</v>
      </c>
      <c r="O36" s="768"/>
    </row>
    <row r="37" spans="1:19" ht="13.5" thickBot="1" x14ac:dyDescent="0.25">
      <c r="B37" s="778"/>
      <c r="C37" s="775">
        <v>4</v>
      </c>
      <c r="D37" s="776"/>
      <c r="E37" s="776"/>
      <c r="F37" s="776"/>
      <c r="G37" s="776"/>
      <c r="H37" s="776"/>
      <c r="I37" s="776"/>
      <c r="J37" s="776"/>
      <c r="K37" s="776"/>
      <c r="L37" s="776"/>
      <c r="M37" s="776"/>
      <c r="N37" s="777">
        <f>SUM(D37:M37)/(10-O$46)</f>
        <v>0</v>
      </c>
      <c r="O37" s="768"/>
    </row>
    <row r="38" spans="1:19" x14ac:dyDescent="0.2">
      <c r="B38" s="764" t="str">
        <f>B18</f>
        <v>Sköldfläcksjuka</v>
      </c>
      <c r="C38" s="771">
        <v>1</v>
      </c>
      <c r="D38" s="772"/>
      <c r="E38" s="772"/>
      <c r="F38" s="772"/>
      <c r="G38" s="772"/>
      <c r="H38" s="772"/>
      <c r="I38" s="772"/>
      <c r="J38" s="772"/>
      <c r="K38" s="772"/>
      <c r="L38" s="772"/>
      <c r="M38" s="772"/>
      <c r="N38" s="767">
        <f>SUM(D38:M38)/(10-O$43)</f>
        <v>0</v>
      </c>
      <c r="O38" s="768"/>
    </row>
    <row r="39" spans="1:19" x14ac:dyDescent="0.2">
      <c r="B39" s="769" t="str">
        <f>B19</f>
        <v>RHYNSE</v>
      </c>
      <c r="C39" s="771">
        <v>2</v>
      </c>
      <c r="D39" s="772"/>
      <c r="E39" s="772"/>
      <c r="F39" s="772"/>
      <c r="G39" s="772"/>
      <c r="H39" s="772"/>
      <c r="I39" s="772"/>
      <c r="J39" s="772"/>
      <c r="K39" s="772"/>
      <c r="L39" s="772"/>
      <c r="M39" s="772"/>
      <c r="N39" s="773">
        <f>SUM(D39:M39)/(10-O$44)</f>
        <v>0</v>
      </c>
      <c r="O39" s="768"/>
      <c r="R39" s="764"/>
    </row>
    <row r="40" spans="1:19" x14ac:dyDescent="0.2">
      <c r="B40" s="769"/>
      <c r="C40" s="771">
        <v>3</v>
      </c>
      <c r="D40" s="772"/>
      <c r="E40" s="772"/>
      <c r="F40" s="772"/>
      <c r="G40" s="772"/>
      <c r="H40" s="772"/>
      <c r="I40" s="772"/>
      <c r="J40" s="772"/>
      <c r="K40" s="772"/>
      <c r="L40" s="772"/>
      <c r="M40" s="772"/>
      <c r="N40" s="773">
        <f>SUM(D40:M40)/(10-O$45)</f>
        <v>0</v>
      </c>
      <c r="O40" s="768"/>
      <c r="R40" s="764"/>
      <c r="S40" s="764"/>
    </row>
    <row r="41" spans="1:19" ht="13.5" thickBot="1" x14ac:dyDescent="0.25">
      <c r="B41" s="778"/>
      <c r="C41" s="775">
        <v>4</v>
      </c>
      <c r="D41" s="776"/>
      <c r="E41" s="776"/>
      <c r="F41" s="776"/>
      <c r="G41" s="776"/>
      <c r="H41" s="776"/>
      <c r="I41" s="776"/>
      <c r="J41" s="776"/>
      <c r="K41" s="776"/>
      <c r="L41" s="776"/>
      <c r="M41" s="776"/>
      <c r="N41" s="777">
        <f>SUM(D41:M41)/(10-O$46)</f>
        <v>0</v>
      </c>
      <c r="O41" s="768"/>
      <c r="R41" s="764"/>
      <c r="S41" s="764"/>
    </row>
    <row r="42" spans="1:19" x14ac:dyDescent="0.2">
      <c r="B42" s="764" t="str">
        <f>B22</f>
        <v>Bladfläcksjuka</v>
      </c>
      <c r="C42" s="771">
        <v>1</v>
      </c>
      <c r="D42" s="772"/>
      <c r="E42" s="772"/>
      <c r="F42" s="772"/>
      <c r="G42" s="772"/>
      <c r="H42" s="772"/>
      <c r="I42" s="772"/>
      <c r="J42" s="772"/>
      <c r="K42" s="772"/>
      <c r="L42" s="772"/>
      <c r="M42" s="772"/>
      <c r="N42" s="767">
        <f>SUM(D42:M42)/(10-O$43)</f>
        <v>0</v>
      </c>
      <c r="O42" s="787">
        <f>COUNTIF(D42:M42,"=V")</f>
        <v>0</v>
      </c>
      <c r="R42" s="764"/>
      <c r="S42" s="764"/>
    </row>
    <row r="43" spans="1:19" x14ac:dyDescent="0.2">
      <c r="B43" s="769" t="str">
        <f>B23</f>
        <v>PYRNTE</v>
      </c>
      <c r="C43" s="771">
        <v>2</v>
      </c>
      <c r="D43" s="772"/>
      <c r="E43" s="772"/>
      <c r="F43" s="772"/>
      <c r="G43" s="772"/>
      <c r="H43" s="772"/>
      <c r="I43" s="772"/>
      <c r="J43" s="772"/>
      <c r="K43" s="772"/>
      <c r="L43" s="772"/>
      <c r="M43" s="772"/>
      <c r="N43" s="773">
        <f>SUM(D43:M43)/(10-O$44)</f>
        <v>0</v>
      </c>
      <c r="O43" s="788">
        <f t="shared" ref="O43:O45" si="1">COUNTIF(D43:M43,"=V")</f>
        <v>0</v>
      </c>
      <c r="R43" s="764"/>
      <c r="S43" s="764"/>
    </row>
    <row r="44" spans="1:19" x14ac:dyDescent="0.2">
      <c r="B44" s="769"/>
      <c r="C44" s="771">
        <v>3</v>
      </c>
      <c r="D44" s="772"/>
      <c r="E44" s="772"/>
      <c r="F44" s="772"/>
      <c r="G44" s="772"/>
      <c r="H44" s="772"/>
      <c r="I44" s="772"/>
      <c r="J44" s="772"/>
      <c r="K44" s="772"/>
      <c r="L44" s="772"/>
      <c r="M44" s="772"/>
      <c r="N44" s="773">
        <f>SUM(D44:M44)/(10-O$45)</f>
        <v>0</v>
      </c>
      <c r="O44" s="788">
        <f t="shared" si="1"/>
        <v>0</v>
      </c>
      <c r="R44" s="764"/>
      <c r="S44" s="764"/>
    </row>
    <row r="45" spans="1:19" ht="13.5" thickBot="1" x14ac:dyDescent="0.25">
      <c r="B45" s="778"/>
      <c r="C45" s="775">
        <v>4</v>
      </c>
      <c r="D45" s="776"/>
      <c r="E45" s="776"/>
      <c r="F45" s="776"/>
      <c r="G45" s="776"/>
      <c r="H45" s="776"/>
      <c r="I45" s="776"/>
      <c r="J45" s="776"/>
      <c r="K45" s="776"/>
      <c r="L45" s="776"/>
      <c r="M45" s="776"/>
      <c r="N45" s="777">
        <f>SUM(D45:M45)/(10-O$46)</f>
        <v>0</v>
      </c>
      <c r="O45" s="789">
        <f t="shared" si="1"/>
        <v>0</v>
      </c>
      <c r="R45" s="764"/>
      <c r="S45" s="764"/>
    </row>
    <row r="46" spans="1:19" x14ac:dyDescent="0.2">
      <c r="B46" s="764" t="str">
        <f>B26</f>
        <v xml:space="preserve">  </v>
      </c>
      <c r="C46" s="771">
        <v>1</v>
      </c>
      <c r="D46" s="772"/>
      <c r="E46" s="772"/>
      <c r="F46" s="772"/>
      <c r="G46" s="772"/>
      <c r="H46" s="772"/>
      <c r="I46" s="772"/>
      <c r="J46" s="772"/>
      <c r="K46" s="772"/>
      <c r="L46" s="772"/>
      <c r="M46" s="772"/>
      <c r="N46" s="767">
        <f>SUM(D46:M46)/(10-O$43)</f>
        <v>0</v>
      </c>
      <c r="O46" s="768"/>
    </row>
    <row r="47" spans="1:19" x14ac:dyDescent="0.2">
      <c r="B47" s="769" t="str">
        <f>B27</f>
        <v xml:space="preserve">  </v>
      </c>
      <c r="C47" s="771">
        <v>2</v>
      </c>
      <c r="D47" s="772"/>
      <c r="E47" s="772"/>
      <c r="F47" s="772"/>
      <c r="G47" s="772"/>
      <c r="H47" s="772"/>
      <c r="I47" s="772"/>
      <c r="J47" s="772"/>
      <c r="K47" s="772"/>
      <c r="L47" s="772"/>
      <c r="M47" s="772"/>
      <c r="N47" s="773">
        <f>SUM(D47:M47)/(10-O$44)</f>
        <v>0</v>
      </c>
      <c r="O47" s="768"/>
    </row>
    <row r="48" spans="1:19" x14ac:dyDescent="0.2">
      <c r="B48" s="769"/>
      <c r="C48" s="771">
        <v>3</v>
      </c>
      <c r="D48" s="772"/>
      <c r="E48" s="772"/>
      <c r="F48" s="772"/>
      <c r="G48" s="772"/>
      <c r="H48" s="772"/>
      <c r="I48" s="772"/>
      <c r="J48" s="772"/>
      <c r="K48" s="772"/>
      <c r="L48" s="772"/>
      <c r="M48" s="772"/>
      <c r="N48" s="773">
        <f>SUM(D48:M48)/(10-O$45)</f>
        <v>0</v>
      </c>
      <c r="O48" s="768"/>
    </row>
    <row r="49" spans="1:15" ht="13.5" thickBot="1" x14ac:dyDescent="0.25">
      <c r="A49" s="782"/>
      <c r="B49" s="783"/>
      <c r="C49" s="784">
        <v>4</v>
      </c>
      <c r="D49" s="785"/>
      <c r="E49" s="785"/>
      <c r="F49" s="785"/>
      <c r="G49" s="785"/>
      <c r="H49" s="785"/>
      <c r="I49" s="785"/>
      <c r="J49" s="785"/>
      <c r="K49" s="785"/>
      <c r="L49" s="785"/>
      <c r="M49" s="785"/>
      <c r="N49" s="777">
        <f>SUM(D49:M49)/(10-O$46)</f>
        <v>0</v>
      </c>
      <c r="O49" s="768"/>
    </row>
    <row r="50" spans="1:15" ht="13.5" thickTop="1" x14ac:dyDescent="0.2">
      <c r="A50" s="680"/>
      <c r="B50" s="680"/>
      <c r="C50" s="680"/>
      <c r="D50" s="680"/>
      <c r="E50" s="680"/>
      <c r="F50" s="680"/>
      <c r="G50" s="680"/>
      <c r="H50" s="680"/>
      <c r="I50" s="680"/>
      <c r="J50" s="680"/>
      <c r="K50" s="680"/>
      <c r="L50" s="680"/>
      <c r="M50" s="680"/>
      <c r="N50" s="680"/>
    </row>
    <row r="51" spans="1:15" x14ac:dyDescent="0.2">
      <c r="A51" s="680"/>
      <c r="B51" s="680"/>
      <c r="C51" s="680"/>
      <c r="D51" s="680"/>
      <c r="E51" s="680"/>
      <c r="F51" s="680"/>
      <c r="G51" s="680"/>
      <c r="H51" s="680"/>
      <c r="I51" s="680"/>
      <c r="J51" s="680"/>
      <c r="K51" s="680"/>
      <c r="L51" s="680"/>
      <c r="M51" s="680"/>
      <c r="N51" s="680"/>
    </row>
    <row r="52" spans="1:15" x14ac:dyDescent="0.2">
      <c r="A52" s="680"/>
      <c r="B52" s="680"/>
      <c r="C52" s="680"/>
      <c r="D52" s="680"/>
      <c r="E52" s="680"/>
      <c r="F52" s="680"/>
      <c r="G52" s="680"/>
      <c r="H52" s="680"/>
      <c r="I52" s="680"/>
      <c r="J52" s="680"/>
      <c r="K52" s="680"/>
      <c r="L52" s="680"/>
      <c r="M52" s="680"/>
      <c r="N52" s="680"/>
    </row>
    <row r="53" spans="1:15" ht="15.75" x14ac:dyDescent="0.25">
      <c r="L53" s="756" t="s">
        <v>685</v>
      </c>
    </row>
    <row r="54" spans="1:15" ht="8.25" customHeight="1" x14ac:dyDescent="0.2"/>
    <row r="55" spans="1:15" x14ac:dyDescent="0.2">
      <c r="A55" s="1013" t="s">
        <v>648</v>
      </c>
      <c r="B55" s="1013"/>
      <c r="C55" s="1014" t="s">
        <v>155</v>
      </c>
      <c r="D55" s="1015"/>
      <c r="E55" s="1016"/>
      <c r="F55" s="1017" t="s">
        <v>649</v>
      </c>
      <c r="G55" s="1018"/>
      <c r="H55" s="1019"/>
      <c r="I55" s="1020" t="s">
        <v>46</v>
      </c>
      <c r="J55" s="1020"/>
      <c r="K55" s="1020"/>
      <c r="L55" s="1017"/>
      <c r="M55" s="1020" t="s">
        <v>650</v>
      </c>
      <c r="N55" s="1020"/>
    </row>
    <row r="56" spans="1:15" ht="25.5" customHeight="1" x14ac:dyDescent="0.25">
      <c r="A56" s="1021" t="str">
        <f>IF(ISBLANK(A6),"",A6)</f>
        <v>HUG066</v>
      </c>
      <c r="B56" s="1021"/>
      <c r="C56" s="1022" t="str">
        <f>IF(ISBLANK(C6),"",C6)</f>
        <v>M-658-2014</v>
      </c>
      <c r="D56" s="1023"/>
      <c r="E56" s="1024"/>
      <c r="F56" s="1025" t="str">
        <f>IF(ISBLANK(F6),"",F6)</f>
        <v/>
      </c>
      <c r="G56" s="1026"/>
      <c r="H56" s="1027"/>
      <c r="I56" s="1025" t="str">
        <f>IF(ISBLANK(I6),"",I6)</f>
        <v/>
      </c>
      <c r="J56" s="1026"/>
      <c r="K56" s="1026"/>
      <c r="L56" s="1026"/>
      <c r="M56" s="1028" t="str">
        <f>IF(ISBLANK(M6),"",M6)</f>
        <v/>
      </c>
      <c r="N56" s="1028"/>
    </row>
    <row r="57" spans="1:15" x14ac:dyDescent="0.2">
      <c r="D57" s="1009" t="s">
        <v>1381</v>
      </c>
      <c r="E57" s="1009"/>
      <c r="F57" s="1009"/>
      <c r="G57" s="1009"/>
      <c r="H57" s="1009"/>
      <c r="I57" s="1009"/>
      <c r="J57" s="1009"/>
      <c r="K57" s="1009"/>
      <c r="L57" s="1009"/>
      <c r="M57" s="1009"/>
      <c r="N57" s="1009"/>
    </row>
    <row r="58" spans="1:15" x14ac:dyDescent="0.2">
      <c r="B58" s="757" t="s">
        <v>651</v>
      </c>
      <c r="C58" s="758" t="s">
        <v>652</v>
      </c>
      <c r="D58" s="1029" t="s">
        <v>653</v>
      </c>
      <c r="E58" s="1030"/>
      <c r="F58" s="1030"/>
      <c r="G58" s="1030"/>
      <c r="H58" s="1030"/>
      <c r="I58" s="1030"/>
      <c r="J58" s="1030"/>
      <c r="K58" s="1030"/>
      <c r="L58" s="1030"/>
      <c r="M58" s="1030"/>
      <c r="O58" s="753" t="s">
        <v>654</v>
      </c>
    </row>
    <row r="59" spans="1:15" ht="13.5" thickBot="1" x14ac:dyDescent="0.25">
      <c r="A59" s="759"/>
      <c r="B59" s="759"/>
      <c r="C59" s="760" t="s">
        <v>655</v>
      </c>
      <c r="D59" s="761">
        <v>1</v>
      </c>
      <c r="E59" s="761">
        <v>2</v>
      </c>
      <c r="F59" s="761">
        <v>3</v>
      </c>
      <c r="G59" s="761">
        <v>4</v>
      </c>
      <c r="H59" s="761">
        <v>5</v>
      </c>
      <c r="I59" s="761">
        <v>6</v>
      </c>
      <c r="J59" s="761">
        <v>7</v>
      </c>
      <c r="K59" s="761">
        <v>8</v>
      </c>
      <c r="L59" s="761">
        <v>9</v>
      </c>
      <c r="M59" s="761">
        <v>10</v>
      </c>
      <c r="N59" s="762" t="s">
        <v>656</v>
      </c>
      <c r="O59" s="761" t="s">
        <v>657</v>
      </c>
    </row>
    <row r="60" spans="1:15" x14ac:dyDescent="0.2">
      <c r="A60" s="763" t="s">
        <v>686</v>
      </c>
      <c r="B60" s="764" t="str">
        <f>B10</f>
        <v>Mjöldagg</v>
      </c>
      <c r="C60" s="765">
        <v>1</v>
      </c>
      <c r="D60" s="766"/>
      <c r="E60" s="766"/>
      <c r="F60" s="766"/>
      <c r="G60" s="766"/>
      <c r="H60" s="766"/>
      <c r="I60" s="766"/>
      <c r="J60" s="766"/>
      <c r="K60" s="766"/>
      <c r="L60" s="766"/>
      <c r="M60" s="766"/>
      <c r="N60" s="767">
        <f>SUM(D60:M60)/(10-O$73)</f>
        <v>0</v>
      </c>
      <c r="O60" s="768"/>
    </row>
    <row r="61" spans="1:15" x14ac:dyDescent="0.2">
      <c r="A61" s="770" t="s">
        <v>662</v>
      </c>
      <c r="B61" s="769" t="str">
        <f>B11</f>
        <v>ERYSGR</v>
      </c>
      <c r="C61" s="771">
        <v>2</v>
      </c>
      <c r="D61" s="772"/>
      <c r="E61" s="772"/>
      <c r="F61" s="772"/>
      <c r="G61" s="772"/>
      <c r="H61" s="772"/>
      <c r="I61" s="772"/>
      <c r="J61" s="772"/>
      <c r="K61" s="772"/>
      <c r="L61" s="772"/>
      <c r="M61" s="772"/>
      <c r="N61" s="773">
        <f>SUM(D61:M61)/(10-O$74)</f>
        <v>0</v>
      </c>
      <c r="O61" s="768"/>
    </row>
    <row r="62" spans="1:15" ht="12.75" customHeight="1" x14ac:dyDescent="0.2">
      <c r="A62" s="1031">
        <f>Led!Q97</f>
        <v>15</v>
      </c>
      <c r="B62" s="769"/>
      <c r="C62" s="771">
        <v>3</v>
      </c>
      <c r="D62" s="772"/>
      <c r="E62" s="772"/>
      <c r="F62" s="772"/>
      <c r="G62" s="772"/>
      <c r="H62" s="772"/>
      <c r="I62" s="772"/>
      <c r="J62" s="772"/>
      <c r="K62" s="772"/>
      <c r="L62" s="772"/>
      <c r="M62" s="772"/>
      <c r="N62" s="773">
        <f>SUM(D62:M62)/(10-O$75)</f>
        <v>0</v>
      </c>
      <c r="O62" s="768"/>
    </row>
    <row r="63" spans="1:15" ht="13.5" customHeight="1" thickBot="1" x14ac:dyDescent="0.25">
      <c r="A63" s="1032"/>
      <c r="B63" s="774"/>
      <c r="C63" s="775">
        <v>4</v>
      </c>
      <c r="D63" s="776"/>
      <c r="E63" s="776"/>
      <c r="F63" s="776"/>
      <c r="G63" s="776"/>
      <c r="H63" s="776"/>
      <c r="I63" s="776"/>
      <c r="J63" s="776"/>
      <c r="K63" s="776"/>
      <c r="L63" s="776"/>
      <c r="M63" s="776"/>
      <c r="N63" s="777">
        <f>SUM(D63:M63)/(10-O$76)</f>
        <v>0</v>
      </c>
      <c r="O63" s="768"/>
    </row>
    <row r="64" spans="1:15" x14ac:dyDescent="0.2">
      <c r="B64" s="764" t="str">
        <f>B14</f>
        <v>Kornrost</v>
      </c>
      <c r="C64" s="765">
        <v>1</v>
      </c>
      <c r="D64" s="766"/>
      <c r="E64" s="766"/>
      <c r="F64" s="766"/>
      <c r="G64" s="766"/>
      <c r="H64" s="766"/>
      <c r="I64" s="766"/>
      <c r="J64" s="766"/>
      <c r="K64" s="766"/>
      <c r="L64" s="766"/>
      <c r="M64" s="766"/>
      <c r="N64" s="767">
        <f>SUM(D64:M64)/(10-O$73)</f>
        <v>0</v>
      </c>
      <c r="O64" s="768"/>
    </row>
    <row r="65" spans="1:15" x14ac:dyDescent="0.2">
      <c r="B65" s="769" t="str">
        <f>B15</f>
        <v>PUCCHD</v>
      </c>
      <c r="C65" s="771">
        <v>2</v>
      </c>
      <c r="D65" s="772"/>
      <c r="E65" s="772"/>
      <c r="F65" s="772"/>
      <c r="G65" s="772"/>
      <c r="H65" s="772"/>
      <c r="I65" s="772"/>
      <c r="J65" s="772"/>
      <c r="K65" s="772"/>
      <c r="L65" s="772"/>
      <c r="M65" s="772"/>
      <c r="N65" s="773">
        <f>SUM(D65:M65)/(10-O$74)</f>
        <v>0</v>
      </c>
      <c r="O65" s="768"/>
    </row>
    <row r="66" spans="1:15" x14ac:dyDescent="0.2">
      <c r="B66" s="769"/>
      <c r="C66" s="771">
        <v>3</v>
      </c>
      <c r="D66" s="772"/>
      <c r="E66" s="772"/>
      <c r="F66" s="772"/>
      <c r="G66" s="772"/>
      <c r="H66" s="772"/>
      <c r="I66" s="772"/>
      <c r="J66" s="772"/>
      <c r="K66" s="772"/>
      <c r="L66" s="772"/>
      <c r="M66" s="772"/>
      <c r="N66" s="773">
        <f>SUM(D66:M66)/(10-O$75)</f>
        <v>0</v>
      </c>
      <c r="O66" s="768"/>
    </row>
    <row r="67" spans="1:15" ht="13.5" thickBot="1" x14ac:dyDescent="0.25">
      <c r="B67" s="778"/>
      <c r="C67" s="775">
        <v>4</v>
      </c>
      <c r="D67" s="776"/>
      <c r="E67" s="776"/>
      <c r="F67" s="776"/>
      <c r="G67" s="776"/>
      <c r="H67" s="776"/>
      <c r="I67" s="776"/>
      <c r="J67" s="776"/>
      <c r="K67" s="776"/>
      <c r="L67" s="776"/>
      <c r="M67" s="776"/>
      <c r="N67" s="777">
        <f>SUM(D67:M67)/(10-O$76)</f>
        <v>0</v>
      </c>
      <c r="O67" s="768"/>
    </row>
    <row r="68" spans="1:15" x14ac:dyDescent="0.2">
      <c r="B68" s="764" t="str">
        <f>B18</f>
        <v>Sköldfläcksjuka</v>
      </c>
      <c r="C68" s="771">
        <v>1</v>
      </c>
      <c r="D68" s="766"/>
      <c r="E68" s="772"/>
      <c r="F68" s="772"/>
      <c r="G68" s="772"/>
      <c r="H68" s="772"/>
      <c r="I68" s="772"/>
      <c r="J68" s="772"/>
      <c r="K68" s="772"/>
      <c r="L68" s="772"/>
      <c r="M68" s="772"/>
      <c r="N68" s="767">
        <f>SUM(D68:M68)/(10-O$73)</f>
        <v>0</v>
      </c>
      <c r="O68" s="768"/>
    </row>
    <row r="69" spans="1:15" x14ac:dyDescent="0.2">
      <c r="B69" s="769" t="str">
        <f>B19</f>
        <v>RHYNSE</v>
      </c>
      <c r="C69" s="771">
        <v>2</v>
      </c>
      <c r="D69" s="772"/>
      <c r="E69" s="772"/>
      <c r="F69" s="772"/>
      <c r="G69" s="772"/>
      <c r="H69" s="772"/>
      <c r="I69" s="772"/>
      <c r="J69" s="772"/>
      <c r="K69" s="772"/>
      <c r="L69" s="772"/>
      <c r="M69" s="772"/>
      <c r="N69" s="773">
        <f>SUM(D69:M69)/(10-O$74)</f>
        <v>0</v>
      </c>
      <c r="O69" s="768"/>
    </row>
    <row r="70" spans="1:15" x14ac:dyDescent="0.2">
      <c r="B70" s="769"/>
      <c r="C70" s="771">
        <v>3</v>
      </c>
      <c r="D70" s="772"/>
      <c r="E70" s="772"/>
      <c r="F70" s="772"/>
      <c r="G70" s="772"/>
      <c r="H70" s="772"/>
      <c r="I70" s="772"/>
      <c r="J70" s="772"/>
      <c r="K70" s="772"/>
      <c r="L70" s="772"/>
      <c r="M70" s="772"/>
      <c r="N70" s="773">
        <f>SUM(D70:M70)/(10-O$75)</f>
        <v>0</v>
      </c>
      <c r="O70" s="768"/>
    </row>
    <row r="71" spans="1:15" ht="13.5" thickBot="1" x14ac:dyDescent="0.25">
      <c r="B71" s="778"/>
      <c r="C71" s="775">
        <v>4</v>
      </c>
      <c r="D71" s="776"/>
      <c r="E71" s="776"/>
      <c r="F71" s="776"/>
      <c r="G71" s="776"/>
      <c r="H71" s="776"/>
      <c r="I71" s="776"/>
      <c r="J71" s="776"/>
      <c r="K71" s="776"/>
      <c r="L71" s="776"/>
      <c r="M71" s="776"/>
      <c r="N71" s="777">
        <f>SUM(D71:M71)/(10-O$76)</f>
        <v>0</v>
      </c>
      <c r="O71" s="768"/>
    </row>
    <row r="72" spans="1:15" x14ac:dyDescent="0.2">
      <c r="B72" s="764" t="str">
        <f>B22</f>
        <v>Bladfläcksjuka</v>
      </c>
      <c r="C72" s="771">
        <v>1</v>
      </c>
      <c r="D72" s="766"/>
      <c r="E72" s="772"/>
      <c r="F72" s="772"/>
      <c r="G72" s="772"/>
      <c r="H72" s="772"/>
      <c r="I72" s="772"/>
      <c r="J72" s="772"/>
      <c r="K72" s="772"/>
      <c r="L72" s="772"/>
      <c r="M72" s="772"/>
      <c r="N72" s="767">
        <f>SUM(D72:M72)/(10-O$73)</f>
        <v>0</v>
      </c>
      <c r="O72" s="787">
        <f>COUNTIF(D72:M72,"=V")</f>
        <v>0</v>
      </c>
    </row>
    <row r="73" spans="1:15" x14ac:dyDescent="0.2">
      <c r="B73" s="769" t="str">
        <f>B23</f>
        <v>PYRNTE</v>
      </c>
      <c r="C73" s="771">
        <v>2</v>
      </c>
      <c r="D73" s="772"/>
      <c r="E73" s="772"/>
      <c r="F73" s="772"/>
      <c r="G73" s="772"/>
      <c r="H73" s="772"/>
      <c r="I73" s="772"/>
      <c r="J73" s="772"/>
      <c r="K73" s="772"/>
      <c r="L73" s="772"/>
      <c r="M73" s="772"/>
      <c r="N73" s="773">
        <f>SUM(D73:M73)/(10-O$74)</f>
        <v>0</v>
      </c>
      <c r="O73" s="788">
        <f t="shared" ref="O73:O75" si="2">COUNTIF(D73:M73,"=V")</f>
        <v>0</v>
      </c>
    </row>
    <row r="74" spans="1:15" x14ac:dyDescent="0.2">
      <c r="B74" s="769"/>
      <c r="C74" s="771">
        <v>3</v>
      </c>
      <c r="D74" s="772"/>
      <c r="E74" s="772"/>
      <c r="F74" s="772"/>
      <c r="G74" s="772"/>
      <c r="H74" s="772"/>
      <c r="I74" s="772"/>
      <c r="J74" s="772"/>
      <c r="K74" s="772"/>
      <c r="L74" s="772"/>
      <c r="M74" s="772"/>
      <c r="N74" s="773">
        <f>SUM(D74:M74)/(10-O$75)</f>
        <v>0</v>
      </c>
      <c r="O74" s="788">
        <f t="shared" si="2"/>
        <v>0</v>
      </c>
    </row>
    <row r="75" spans="1:15" ht="13.5" thickBot="1" x14ac:dyDescent="0.25">
      <c r="B75" s="778"/>
      <c r="C75" s="775">
        <v>4</v>
      </c>
      <c r="D75" s="776"/>
      <c r="E75" s="776"/>
      <c r="F75" s="776"/>
      <c r="G75" s="776"/>
      <c r="H75" s="776"/>
      <c r="I75" s="776"/>
      <c r="J75" s="776"/>
      <c r="K75" s="776"/>
      <c r="L75" s="776"/>
      <c r="M75" s="776"/>
      <c r="N75" s="777">
        <f>SUM(D75:M75)/(10-O$76)</f>
        <v>0</v>
      </c>
      <c r="O75" s="789">
        <f t="shared" si="2"/>
        <v>0</v>
      </c>
    </row>
    <row r="76" spans="1:15" x14ac:dyDescent="0.2">
      <c r="B76" s="764" t="str">
        <f>B26</f>
        <v xml:space="preserve">  </v>
      </c>
      <c r="C76" s="771">
        <v>1</v>
      </c>
      <c r="D76" s="772"/>
      <c r="E76" s="772"/>
      <c r="F76" s="772"/>
      <c r="G76" s="772"/>
      <c r="H76" s="772"/>
      <c r="I76" s="772"/>
      <c r="J76" s="772"/>
      <c r="K76" s="772"/>
      <c r="L76" s="772"/>
      <c r="M76" s="772"/>
      <c r="N76" s="767">
        <f>SUM(D76:M76)/(10-O$73)</f>
        <v>0</v>
      </c>
      <c r="O76" s="768"/>
    </row>
    <row r="77" spans="1:15" x14ac:dyDescent="0.2">
      <c r="B77" s="769" t="str">
        <f>B27</f>
        <v xml:space="preserve">  </v>
      </c>
      <c r="C77" s="771">
        <v>2</v>
      </c>
      <c r="D77" s="772"/>
      <c r="E77" s="772"/>
      <c r="F77" s="772"/>
      <c r="G77" s="772"/>
      <c r="H77" s="772"/>
      <c r="I77" s="772"/>
      <c r="J77" s="772"/>
      <c r="K77" s="772"/>
      <c r="L77" s="772"/>
      <c r="M77" s="772"/>
      <c r="N77" s="773">
        <f>SUM(D77:M77)/(10-O$74)</f>
        <v>0</v>
      </c>
      <c r="O77" s="768"/>
    </row>
    <row r="78" spans="1:15" x14ac:dyDescent="0.2">
      <c r="B78" s="769"/>
      <c r="C78" s="771">
        <v>3</v>
      </c>
      <c r="D78" s="772"/>
      <c r="E78" s="772"/>
      <c r="F78" s="772"/>
      <c r="G78" s="772"/>
      <c r="H78" s="772"/>
      <c r="I78" s="772"/>
      <c r="J78" s="772"/>
      <c r="K78" s="772"/>
      <c r="L78" s="772"/>
      <c r="M78" s="772"/>
      <c r="N78" s="773">
        <f>SUM(D78:M78)/(10-O$75)</f>
        <v>0</v>
      </c>
      <c r="O78" s="768"/>
    </row>
    <row r="79" spans="1:15" ht="13.5" thickBot="1" x14ac:dyDescent="0.25">
      <c r="A79" s="782"/>
      <c r="B79" s="783"/>
      <c r="C79" s="784">
        <v>4</v>
      </c>
      <c r="D79" s="785"/>
      <c r="E79" s="785"/>
      <c r="F79" s="785"/>
      <c r="G79" s="785"/>
      <c r="H79" s="785"/>
      <c r="I79" s="785"/>
      <c r="J79" s="785"/>
      <c r="K79" s="785"/>
      <c r="L79" s="785"/>
      <c r="M79" s="785"/>
      <c r="N79" s="777">
        <f>SUM(D79:M79)/(10-O$76)</f>
        <v>0</v>
      </c>
      <c r="O79" s="790"/>
    </row>
    <row r="80" spans="1:15" ht="13.5" thickTop="1" x14ac:dyDescent="0.2">
      <c r="A80" s="763" t="s">
        <v>687</v>
      </c>
      <c r="B80" s="764" t="str">
        <f>B60</f>
        <v>Mjöldagg</v>
      </c>
      <c r="C80" s="765">
        <v>1</v>
      </c>
      <c r="D80" s="766"/>
      <c r="E80" s="766"/>
      <c r="F80" s="766"/>
      <c r="G80" s="766"/>
      <c r="H80" s="766"/>
      <c r="I80" s="766"/>
      <c r="J80" s="766"/>
      <c r="K80" s="766"/>
      <c r="L80" s="766"/>
      <c r="M80" s="766"/>
      <c r="N80" s="767">
        <f>SUM(D80:M80)/(10-O$93)</f>
        <v>0</v>
      </c>
      <c r="O80" s="768"/>
    </row>
    <row r="81" spans="1:15" x14ac:dyDescent="0.2">
      <c r="A81" s="770" t="s">
        <v>662</v>
      </c>
      <c r="B81" s="769" t="str">
        <f>B61</f>
        <v>ERYSGR</v>
      </c>
      <c r="C81" s="771">
        <v>2</v>
      </c>
      <c r="D81" s="772"/>
      <c r="E81" s="772"/>
      <c r="F81" s="772"/>
      <c r="G81" s="772"/>
      <c r="H81" s="772"/>
      <c r="I81" s="772"/>
      <c r="J81" s="772"/>
      <c r="K81" s="772"/>
      <c r="L81" s="772"/>
      <c r="M81" s="772"/>
      <c r="N81" s="773">
        <f>SUM(D81:M81)/(10-O$94)</f>
        <v>0</v>
      </c>
      <c r="O81" s="768"/>
    </row>
    <row r="82" spans="1:15" ht="12.75" customHeight="1" x14ac:dyDescent="0.2">
      <c r="A82" s="1031">
        <f>Led!Q98</f>
        <v>24</v>
      </c>
      <c r="B82" s="769"/>
      <c r="C82" s="771">
        <v>3</v>
      </c>
      <c r="D82" s="772"/>
      <c r="E82" s="772"/>
      <c r="F82" s="772"/>
      <c r="G82" s="772"/>
      <c r="H82" s="772"/>
      <c r="I82" s="772"/>
      <c r="J82" s="772"/>
      <c r="K82" s="772"/>
      <c r="L82" s="772"/>
      <c r="M82" s="772"/>
      <c r="N82" s="773">
        <f>SUM(D82:M82)/(10-O$95)</f>
        <v>0</v>
      </c>
      <c r="O82" s="768"/>
    </row>
    <row r="83" spans="1:15" ht="13.5" customHeight="1" thickBot="1" x14ac:dyDescent="0.25">
      <c r="A83" s="1032"/>
      <c r="B83" s="774"/>
      <c r="C83" s="775">
        <v>4</v>
      </c>
      <c r="D83" s="776"/>
      <c r="E83" s="776"/>
      <c r="F83" s="776"/>
      <c r="G83" s="776"/>
      <c r="H83" s="776"/>
      <c r="I83" s="776"/>
      <c r="J83" s="776"/>
      <c r="K83" s="776"/>
      <c r="L83" s="776"/>
      <c r="M83" s="776"/>
      <c r="N83" s="777">
        <f>SUM(D83:M83)/(10-O$96)</f>
        <v>0</v>
      </c>
      <c r="O83" s="768"/>
    </row>
    <row r="84" spans="1:15" x14ac:dyDescent="0.2">
      <c r="B84" s="764" t="str">
        <f>B64</f>
        <v>Kornrost</v>
      </c>
      <c r="C84" s="765">
        <v>1</v>
      </c>
      <c r="D84" s="766"/>
      <c r="E84" s="766"/>
      <c r="F84" s="766"/>
      <c r="G84" s="766"/>
      <c r="H84" s="766"/>
      <c r="I84" s="766"/>
      <c r="J84" s="766"/>
      <c r="K84" s="766"/>
      <c r="L84" s="766"/>
      <c r="M84" s="766"/>
      <c r="N84" s="767">
        <f>SUM(D84:M84)/(10-O$93)</f>
        <v>0</v>
      </c>
      <c r="O84" s="768"/>
    </row>
    <row r="85" spans="1:15" x14ac:dyDescent="0.2">
      <c r="B85" s="769" t="str">
        <f>B65</f>
        <v>PUCCHD</v>
      </c>
      <c r="C85" s="771">
        <v>2</v>
      </c>
      <c r="D85" s="772"/>
      <c r="E85" s="772"/>
      <c r="F85" s="772"/>
      <c r="G85" s="772"/>
      <c r="H85" s="772"/>
      <c r="I85" s="772"/>
      <c r="J85" s="772"/>
      <c r="K85" s="772"/>
      <c r="L85" s="772"/>
      <c r="M85" s="772"/>
      <c r="N85" s="773">
        <f>SUM(D85:M85)/(10-O$94)</f>
        <v>0</v>
      </c>
      <c r="O85" s="768"/>
    </row>
    <row r="86" spans="1:15" x14ac:dyDescent="0.2">
      <c r="B86" s="769"/>
      <c r="C86" s="771">
        <v>3</v>
      </c>
      <c r="D86" s="772"/>
      <c r="E86" s="772"/>
      <c r="F86" s="772"/>
      <c r="G86" s="772"/>
      <c r="H86" s="772"/>
      <c r="I86" s="772"/>
      <c r="J86" s="772"/>
      <c r="K86" s="772"/>
      <c r="L86" s="772"/>
      <c r="M86" s="772"/>
      <c r="N86" s="773">
        <f>SUM(D86:M86)/(10-O$95)</f>
        <v>0</v>
      </c>
      <c r="O86" s="768"/>
    </row>
    <row r="87" spans="1:15" ht="13.5" thickBot="1" x14ac:dyDescent="0.25">
      <c r="B87" s="778"/>
      <c r="C87" s="775">
        <v>4</v>
      </c>
      <c r="D87" s="776"/>
      <c r="E87" s="776"/>
      <c r="F87" s="776"/>
      <c r="G87" s="776"/>
      <c r="H87" s="776"/>
      <c r="I87" s="776"/>
      <c r="J87" s="776"/>
      <c r="K87" s="776"/>
      <c r="L87" s="776"/>
      <c r="M87" s="776"/>
      <c r="N87" s="777">
        <f>SUM(D87:M87)/(10-O$96)</f>
        <v>0</v>
      </c>
      <c r="O87" s="768"/>
    </row>
    <row r="88" spans="1:15" x14ac:dyDescent="0.2">
      <c r="B88" s="764" t="str">
        <f>B68</f>
        <v>Sköldfläcksjuka</v>
      </c>
      <c r="C88" s="771">
        <v>1</v>
      </c>
      <c r="D88" s="772"/>
      <c r="E88" s="772"/>
      <c r="F88" s="772"/>
      <c r="G88" s="772"/>
      <c r="H88" s="772"/>
      <c r="I88" s="772"/>
      <c r="J88" s="772"/>
      <c r="K88" s="772"/>
      <c r="L88" s="772"/>
      <c r="M88" s="772"/>
      <c r="N88" s="767">
        <f>SUM(D88:M88)/(10-O$93)</f>
        <v>0</v>
      </c>
      <c r="O88" s="768"/>
    </row>
    <row r="89" spans="1:15" x14ac:dyDescent="0.2">
      <c r="B89" s="769" t="str">
        <f>B69</f>
        <v>RHYNSE</v>
      </c>
      <c r="C89" s="771">
        <v>2</v>
      </c>
      <c r="D89" s="772"/>
      <c r="E89" s="772"/>
      <c r="F89" s="772"/>
      <c r="G89" s="772"/>
      <c r="H89" s="772"/>
      <c r="I89" s="772"/>
      <c r="J89" s="772"/>
      <c r="K89" s="772"/>
      <c r="L89" s="772"/>
      <c r="M89" s="772"/>
      <c r="N89" s="773">
        <f>SUM(D89:M89)/(10-O$94)</f>
        <v>0</v>
      </c>
      <c r="O89" s="768"/>
    </row>
    <row r="90" spans="1:15" x14ac:dyDescent="0.2">
      <c r="B90" s="769"/>
      <c r="C90" s="771">
        <v>3</v>
      </c>
      <c r="D90" s="772"/>
      <c r="E90" s="772"/>
      <c r="F90" s="772"/>
      <c r="G90" s="772"/>
      <c r="H90" s="772"/>
      <c r="I90" s="772"/>
      <c r="J90" s="772"/>
      <c r="K90" s="772"/>
      <c r="L90" s="772"/>
      <c r="M90" s="772"/>
      <c r="N90" s="773">
        <f>SUM(D90:M90)/(10-O$95)</f>
        <v>0</v>
      </c>
      <c r="O90" s="768"/>
    </row>
    <row r="91" spans="1:15" ht="13.5" thickBot="1" x14ac:dyDescent="0.25">
      <c r="B91" s="778"/>
      <c r="C91" s="775">
        <v>4</v>
      </c>
      <c r="D91" s="776"/>
      <c r="E91" s="776"/>
      <c r="F91" s="776"/>
      <c r="G91" s="776"/>
      <c r="H91" s="776"/>
      <c r="I91" s="776"/>
      <c r="J91" s="776"/>
      <c r="K91" s="776"/>
      <c r="L91" s="776"/>
      <c r="M91" s="776"/>
      <c r="N91" s="777">
        <f>SUM(D91:M91)/(10-O$96)</f>
        <v>0</v>
      </c>
      <c r="O91" s="768"/>
    </row>
    <row r="92" spans="1:15" x14ac:dyDescent="0.2">
      <c r="B92" s="764" t="str">
        <f>B72</f>
        <v>Bladfläcksjuka</v>
      </c>
      <c r="C92" s="771">
        <v>1</v>
      </c>
      <c r="D92" s="772"/>
      <c r="E92" s="772"/>
      <c r="F92" s="772"/>
      <c r="G92" s="772"/>
      <c r="H92" s="772"/>
      <c r="I92" s="772"/>
      <c r="J92" s="772"/>
      <c r="K92" s="772"/>
      <c r="L92" s="772"/>
      <c r="M92" s="772"/>
      <c r="N92" s="767">
        <f>SUM(D92:M92)/(10-O$93)</f>
        <v>0</v>
      </c>
      <c r="O92" s="787">
        <f>COUNTIF(D92:M92,"=V")</f>
        <v>0</v>
      </c>
    </row>
    <row r="93" spans="1:15" x14ac:dyDescent="0.2">
      <c r="B93" s="769" t="str">
        <f>B73</f>
        <v>PYRNTE</v>
      </c>
      <c r="C93" s="771">
        <v>2</v>
      </c>
      <c r="D93" s="772"/>
      <c r="E93" s="772"/>
      <c r="F93" s="772"/>
      <c r="G93" s="772"/>
      <c r="H93" s="772"/>
      <c r="I93" s="772"/>
      <c r="J93" s="772"/>
      <c r="K93" s="772"/>
      <c r="L93" s="772"/>
      <c r="M93" s="772"/>
      <c r="N93" s="773">
        <f>SUM(D93:M93)/(10-O$94)</f>
        <v>0</v>
      </c>
      <c r="O93" s="788">
        <f t="shared" ref="O93:O95" si="3">COUNTIF(D93:M93,"=V")</f>
        <v>0</v>
      </c>
    </row>
    <row r="94" spans="1:15" x14ac:dyDescent="0.2">
      <c r="B94" s="769"/>
      <c r="C94" s="771">
        <v>3</v>
      </c>
      <c r="D94" s="772"/>
      <c r="E94" s="772"/>
      <c r="F94" s="772"/>
      <c r="G94" s="772"/>
      <c r="H94" s="772"/>
      <c r="I94" s="772"/>
      <c r="J94" s="772"/>
      <c r="K94" s="772"/>
      <c r="L94" s="772"/>
      <c r="M94" s="772"/>
      <c r="N94" s="773">
        <f>SUM(D94:M94)/(10-O$95)</f>
        <v>0</v>
      </c>
      <c r="O94" s="788">
        <f t="shared" si="3"/>
        <v>0</v>
      </c>
    </row>
    <row r="95" spans="1:15" ht="13.5" thickBot="1" x14ac:dyDescent="0.25">
      <c r="B95" s="778"/>
      <c r="C95" s="775">
        <v>4</v>
      </c>
      <c r="D95" s="776"/>
      <c r="E95" s="776"/>
      <c r="F95" s="776"/>
      <c r="G95" s="776"/>
      <c r="H95" s="776"/>
      <c r="I95" s="776"/>
      <c r="J95" s="776"/>
      <c r="K95" s="776"/>
      <c r="L95" s="776"/>
      <c r="M95" s="776"/>
      <c r="N95" s="777">
        <f>SUM(D95:M95)/(10-O$96)</f>
        <v>0</v>
      </c>
      <c r="O95" s="789">
        <f t="shared" si="3"/>
        <v>0</v>
      </c>
    </row>
    <row r="96" spans="1:15" x14ac:dyDescent="0.2">
      <c r="B96" s="764" t="str">
        <f>B76</f>
        <v xml:space="preserve">  </v>
      </c>
      <c r="C96" s="771">
        <v>1</v>
      </c>
      <c r="D96" s="772"/>
      <c r="E96" s="772"/>
      <c r="F96" s="772"/>
      <c r="G96" s="772"/>
      <c r="H96" s="772"/>
      <c r="I96" s="772"/>
      <c r="J96" s="772"/>
      <c r="K96" s="772"/>
      <c r="L96" s="772"/>
      <c r="M96" s="772"/>
      <c r="N96" s="767">
        <f>SUM(D96:M96)/(10-O$93)</f>
        <v>0</v>
      </c>
      <c r="O96" s="768"/>
    </row>
    <row r="97" spans="1:23" x14ac:dyDescent="0.2">
      <c r="B97" s="769" t="str">
        <f>B77</f>
        <v xml:space="preserve">  </v>
      </c>
      <c r="C97" s="771">
        <v>2</v>
      </c>
      <c r="D97" s="772"/>
      <c r="E97" s="772"/>
      <c r="F97" s="772"/>
      <c r="G97" s="772"/>
      <c r="H97" s="772"/>
      <c r="I97" s="772"/>
      <c r="J97" s="772"/>
      <c r="K97" s="772"/>
      <c r="L97" s="772"/>
      <c r="M97" s="772"/>
      <c r="N97" s="773">
        <f>SUM(D97:M97)/(10-O$94)</f>
        <v>0</v>
      </c>
      <c r="O97" s="768"/>
    </row>
    <row r="98" spans="1:23" x14ac:dyDescent="0.2">
      <c r="B98" s="769"/>
      <c r="C98" s="771">
        <v>3</v>
      </c>
      <c r="D98" s="772"/>
      <c r="E98" s="772"/>
      <c r="F98" s="772"/>
      <c r="G98" s="772"/>
      <c r="H98" s="772"/>
      <c r="I98" s="772"/>
      <c r="J98" s="772"/>
      <c r="K98" s="772"/>
      <c r="L98" s="772"/>
      <c r="M98" s="772"/>
      <c r="N98" s="773">
        <f>SUM(D98:M98)/(10-O$95)</f>
        <v>0</v>
      </c>
      <c r="O98" s="768"/>
    </row>
    <row r="99" spans="1:23" ht="13.5" thickBot="1" x14ac:dyDescent="0.25">
      <c r="A99" s="782"/>
      <c r="B99" s="783"/>
      <c r="C99" s="784">
        <v>4</v>
      </c>
      <c r="D99" s="785"/>
      <c r="E99" s="785"/>
      <c r="F99" s="785"/>
      <c r="G99" s="785"/>
      <c r="H99" s="785"/>
      <c r="I99" s="785"/>
      <c r="J99" s="785"/>
      <c r="K99" s="785"/>
      <c r="L99" s="785"/>
      <c r="M99" s="785"/>
      <c r="N99" s="777">
        <f>SUM(D99:M99)/(10-O$96)</f>
        <v>0</v>
      </c>
      <c r="O99" s="768"/>
    </row>
    <row r="100" spans="1:23" ht="8.25" customHeight="1" thickTop="1" x14ac:dyDescent="0.2"/>
    <row r="101" spans="1:23" ht="14.25" customHeight="1" thickBot="1" x14ac:dyDescent="0.3">
      <c r="B101" s="791" t="s">
        <v>688</v>
      </c>
      <c r="C101" s="759"/>
      <c r="D101" s="792" t="s">
        <v>689</v>
      </c>
      <c r="E101" s="759"/>
      <c r="F101" s="793">
        <v>1</v>
      </c>
      <c r="G101" s="794">
        <v>2</v>
      </c>
      <c r="H101" s="794">
        <v>3</v>
      </c>
      <c r="I101" s="794">
        <v>4</v>
      </c>
      <c r="J101" s="795" t="s">
        <v>690</v>
      </c>
      <c r="K101" s="759"/>
    </row>
    <row r="102" spans="1:23" x14ac:dyDescent="0.2">
      <c r="B102" s="757" t="str">
        <f>B10</f>
        <v>Mjöldagg</v>
      </c>
      <c r="C102" s="757" t="str">
        <f>B11</f>
        <v>ERYSGR</v>
      </c>
      <c r="D102" s="757"/>
      <c r="F102" s="796">
        <f>AVERAGE(N10,N30,N60,N80)</f>
        <v>0</v>
      </c>
      <c r="G102" s="796">
        <f>AVERAGE(N11,N31,N61,N81)</f>
        <v>0</v>
      </c>
      <c r="H102" s="796">
        <f>AVERAGE(N12,N32,N62,N82)</f>
        <v>0</v>
      </c>
      <c r="I102" s="796">
        <f>AVERAGE(N13,N33,N63,N83)</f>
        <v>0</v>
      </c>
      <c r="J102" s="797" t="str">
        <f>IF(ISNUMBER(F102),FIXED(F102),"------")</f>
        <v>0.00</v>
      </c>
      <c r="K102" s="797" t="str">
        <f t="shared" ref="K102:M107" si="4">IF(ISNUMBER(G102),FIXED(G102),"------")</f>
        <v>0.00</v>
      </c>
      <c r="L102" s="797" t="str">
        <f t="shared" si="4"/>
        <v>0.00</v>
      </c>
      <c r="M102" s="797" t="str">
        <f t="shared" si="4"/>
        <v>0.00</v>
      </c>
      <c r="N102" s="797" t="str">
        <f>CONCATENATE(J102,"-",K102,"-",L102,"-",M102)</f>
        <v>0.00-0.00-0.00-0.00</v>
      </c>
      <c r="O102" s="768"/>
      <c r="R102" s="753" t="str">
        <f t="shared" ref="R102:R107" si="5">C102</f>
        <v>ERYSGR</v>
      </c>
      <c r="S102" s="753" t="str">
        <f>IF(ISNUMBER(F102),FIXED(F102),"------")</f>
        <v>0.00</v>
      </c>
      <c r="T102" s="753" t="str">
        <f t="shared" ref="T102:V107" si="6">IF(ISNUMBER(G102),FIXED(G102),"------")</f>
        <v>0.00</v>
      </c>
      <c r="U102" s="753" t="str">
        <f t="shared" si="6"/>
        <v>0.00</v>
      </c>
      <c r="V102" s="753" t="str">
        <f t="shared" si="6"/>
        <v>0.00</v>
      </c>
      <c r="W102" s="798" t="str">
        <f>CONCATENATE(S102,"-",T102,"-",U102,"-",V102)</f>
        <v>0.00-0.00-0.00-0.00</v>
      </c>
    </row>
    <row r="103" spans="1:23" x14ac:dyDescent="0.2">
      <c r="B103" s="757" t="str">
        <f>B64</f>
        <v>Kornrost</v>
      </c>
      <c r="C103" s="757" t="str">
        <f>B65</f>
        <v>PUCCHD</v>
      </c>
      <c r="D103" s="757"/>
      <c r="F103" s="796">
        <f>AVERAGE(N14,N34,N64,N84)</f>
        <v>0</v>
      </c>
      <c r="G103" s="796">
        <f>AVERAGE(N15,N35,N65,N85)</f>
        <v>0</v>
      </c>
      <c r="H103" s="796">
        <f>AVERAGE(N16,N36,N66,N86)</f>
        <v>0</v>
      </c>
      <c r="I103" s="796">
        <f>AVERAGE(N17,N37,N67,N87)</f>
        <v>0</v>
      </c>
      <c r="J103" s="797" t="str">
        <f t="shared" ref="J103:J107" si="7">IF(ISNUMBER(F103),FIXED(F103),"------")</f>
        <v>0.00</v>
      </c>
      <c r="K103" s="797" t="str">
        <f t="shared" si="4"/>
        <v>0.00</v>
      </c>
      <c r="L103" s="797" t="str">
        <f t="shared" si="4"/>
        <v>0.00</v>
      </c>
      <c r="M103" s="797" t="str">
        <f t="shared" si="4"/>
        <v>0.00</v>
      </c>
      <c r="N103" s="797" t="str">
        <f t="shared" ref="N103:N107" si="8">CONCATENATE(J103,"-",K103,"-",L103,"-",M103)</f>
        <v>0.00-0.00-0.00-0.00</v>
      </c>
      <c r="O103" s="768"/>
      <c r="R103" s="753" t="str">
        <f t="shared" si="5"/>
        <v>PUCCHD</v>
      </c>
      <c r="S103" s="753" t="str">
        <f t="shared" ref="S103:S107" si="9">IF(ISNUMBER(F103),FIXED(F103),"------")</f>
        <v>0.00</v>
      </c>
      <c r="T103" s="753" t="str">
        <f t="shared" si="6"/>
        <v>0.00</v>
      </c>
      <c r="U103" s="753" t="str">
        <f t="shared" si="6"/>
        <v>0.00</v>
      </c>
      <c r="V103" s="753" t="str">
        <f t="shared" si="6"/>
        <v>0.00</v>
      </c>
      <c r="W103" s="798" t="str">
        <f t="shared" ref="W103:W107" si="10">CONCATENATE(S103,"-",T103,"-",U103,"-",V103)</f>
        <v>0.00-0.00-0.00-0.00</v>
      </c>
    </row>
    <row r="104" spans="1:23" x14ac:dyDescent="0.2">
      <c r="B104" s="757" t="str">
        <f>B68</f>
        <v>Sköldfläcksjuka</v>
      </c>
      <c r="C104" s="757" t="str">
        <f>B69</f>
        <v>RHYNSE</v>
      </c>
      <c r="D104" s="757"/>
      <c r="F104" s="796">
        <f>AVERAGE(N18,N38,N68,N88)</f>
        <v>0</v>
      </c>
      <c r="G104" s="796">
        <f>AVERAGE(N19,N39,N69,N89)</f>
        <v>0</v>
      </c>
      <c r="H104" s="796">
        <f>AVERAGE(N20,N40,N70,N90)</f>
        <v>0</v>
      </c>
      <c r="I104" s="796">
        <f>AVERAGE(N21,N41,N71,N91)</f>
        <v>0</v>
      </c>
      <c r="J104" s="797" t="str">
        <f t="shared" si="7"/>
        <v>0.00</v>
      </c>
      <c r="K104" s="797" t="str">
        <f t="shared" si="4"/>
        <v>0.00</v>
      </c>
      <c r="L104" s="797" t="str">
        <f t="shared" si="4"/>
        <v>0.00</v>
      </c>
      <c r="M104" s="797" t="str">
        <f t="shared" si="4"/>
        <v>0.00</v>
      </c>
      <c r="N104" s="797" t="str">
        <f t="shared" si="8"/>
        <v>0.00-0.00-0.00-0.00</v>
      </c>
      <c r="O104" s="768"/>
      <c r="R104" s="753" t="str">
        <f t="shared" si="5"/>
        <v>RHYNSE</v>
      </c>
      <c r="S104" s="753" t="str">
        <f t="shared" si="9"/>
        <v>0.00</v>
      </c>
      <c r="T104" s="753" t="str">
        <f t="shared" si="6"/>
        <v>0.00</v>
      </c>
      <c r="U104" s="753" t="str">
        <f t="shared" si="6"/>
        <v>0.00</v>
      </c>
      <c r="V104" s="753" t="str">
        <f t="shared" si="6"/>
        <v>0.00</v>
      </c>
      <c r="W104" s="798" t="str">
        <f t="shared" si="10"/>
        <v>0.00-0.00-0.00-0.00</v>
      </c>
    </row>
    <row r="105" spans="1:23" x14ac:dyDescent="0.2">
      <c r="B105" s="757" t="str">
        <f>B72</f>
        <v>Bladfläcksjuka</v>
      </c>
      <c r="C105" s="757" t="str">
        <f>B73</f>
        <v>PYRNTE</v>
      </c>
      <c r="D105" s="757"/>
      <c r="F105" s="796">
        <f>AVERAGE(N22,N42,N72,N92)</f>
        <v>0</v>
      </c>
      <c r="G105" s="796">
        <f>AVERAGE(N23,N43,N73,N93)</f>
        <v>0</v>
      </c>
      <c r="H105" s="796">
        <f>AVERAGE(N24,N44,N74,N94)</f>
        <v>0</v>
      </c>
      <c r="I105" s="796">
        <f>AVERAGE(N25,N45,N75,N95)</f>
        <v>0</v>
      </c>
      <c r="J105" s="797" t="str">
        <f t="shared" si="7"/>
        <v>0.00</v>
      </c>
      <c r="K105" s="797" t="str">
        <f t="shared" si="4"/>
        <v>0.00</v>
      </c>
      <c r="L105" s="797" t="str">
        <f t="shared" si="4"/>
        <v>0.00</v>
      </c>
      <c r="M105" s="797" t="str">
        <f t="shared" si="4"/>
        <v>0.00</v>
      </c>
      <c r="N105" s="797" t="str">
        <f t="shared" si="8"/>
        <v>0.00-0.00-0.00-0.00</v>
      </c>
      <c r="O105" s="768"/>
      <c r="R105" s="753" t="str">
        <f t="shared" si="5"/>
        <v>PYRNTE</v>
      </c>
      <c r="S105" s="753" t="str">
        <f t="shared" si="9"/>
        <v>0.00</v>
      </c>
      <c r="T105" s="753" t="str">
        <f t="shared" si="6"/>
        <v>0.00</v>
      </c>
      <c r="U105" s="753" t="str">
        <f t="shared" si="6"/>
        <v>0.00</v>
      </c>
      <c r="V105" s="753" t="str">
        <f t="shared" si="6"/>
        <v>0.00</v>
      </c>
      <c r="W105" s="798" t="str">
        <f t="shared" si="10"/>
        <v>0.00-0.00-0.00-0.00</v>
      </c>
    </row>
    <row r="106" spans="1:23" x14ac:dyDescent="0.2">
      <c r="B106" s="757" t="str">
        <f>B76</f>
        <v xml:space="preserve">  </v>
      </c>
      <c r="C106" s="757" t="str">
        <f>B77</f>
        <v xml:space="preserve">  </v>
      </c>
      <c r="D106" s="757"/>
      <c r="F106" s="796">
        <f>AVERAGE(N26,N46,N76,N96)</f>
        <v>0</v>
      </c>
      <c r="G106" s="796">
        <f>AVERAGE(N27,N47,N77,N97)</f>
        <v>0</v>
      </c>
      <c r="H106" s="796">
        <f>AVERAGE(N28,N48,N78,N98)</f>
        <v>0</v>
      </c>
      <c r="I106" s="796">
        <f>AVERAGE(N29,N49,N79,N99)</f>
        <v>0</v>
      </c>
      <c r="J106" s="797" t="str">
        <f t="shared" si="7"/>
        <v>0.00</v>
      </c>
      <c r="K106" s="797" t="str">
        <f t="shared" si="4"/>
        <v>0.00</v>
      </c>
      <c r="L106" s="797" t="str">
        <f t="shared" si="4"/>
        <v>0.00</v>
      </c>
      <c r="M106" s="797" t="str">
        <f t="shared" si="4"/>
        <v>0.00</v>
      </c>
      <c r="N106" s="797" t="str">
        <f t="shared" si="8"/>
        <v>0.00-0.00-0.00-0.00</v>
      </c>
      <c r="O106" s="768"/>
      <c r="R106" s="753" t="str">
        <f t="shared" si="5"/>
        <v xml:space="preserve">  </v>
      </c>
      <c r="S106" s="753" t="str">
        <f t="shared" si="9"/>
        <v>0.00</v>
      </c>
      <c r="T106" s="753" t="str">
        <f t="shared" si="6"/>
        <v>0.00</v>
      </c>
      <c r="U106" s="753" t="str">
        <f t="shared" si="6"/>
        <v>0.00</v>
      </c>
      <c r="V106" s="753" t="str">
        <f t="shared" si="6"/>
        <v>0.00</v>
      </c>
      <c r="W106" s="798" t="str">
        <f t="shared" si="10"/>
        <v>0.00-0.00-0.00-0.00</v>
      </c>
    </row>
    <row r="107" spans="1:23" x14ac:dyDescent="0.2">
      <c r="B107" s="757" t="s">
        <v>691</v>
      </c>
      <c r="C107" s="753" t="str">
        <f>B107</f>
        <v>Andel vissna</v>
      </c>
      <c r="F107" s="796">
        <f>10*AVERAGE(O22,O42,O72,O92)</f>
        <v>0</v>
      </c>
      <c r="G107" s="796">
        <f>10*AVERAGE(O23,O43,O73,O93)</f>
        <v>0</v>
      </c>
      <c r="H107" s="796">
        <f>10*AVERAGE(O24,O44,O74,O94)</f>
        <v>0</v>
      </c>
      <c r="I107" s="796">
        <f>10*AVERAGE(O25,O45,O75,O95)</f>
        <v>0</v>
      </c>
      <c r="J107" s="797" t="str">
        <f t="shared" si="7"/>
        <v>0.00</v>
      </c>
      <c r="K107" s="797" t="str">
        <f t="shared" si="4"/>
        <v>0.00</v>
      </c>
      <c r="L107" s="797" t="str">
        <f t="shared" si="4"/>
        <v>0.00</v>
      </c>
      <c r="M107" s="797" t="str">
        <f t="shared" si="4"/>
        <v>0.00</v>
      </c>
      <c r="N107" s="797" t="str">
        <f t="shared" si="8"/>
        <v>0.00-0.00-0.00-0.00</v>
      </c>
      <c r="O107" s="768"/>
      <c r="R107" s="753" t="str">
        <f t="shared" si="5"/>
        <v>Andel vissna</v>
      </c>
      <c r="S107" s="753" t="str">
        <f t="shared" si="9"/>
        <v>0.00</v>
      </c>
      <c r="T107" s="753" t="str">
        <f t="shared" si="6"/>
        <v>0.00</v>
      </c>
      <c r="U107" s="753" t="str">
        <f t="shared" si="6"/>
        <v>0.00</v>
      </c>
      <c r="V107" s="753" t="str">
        <f t="shared" si="6"/>
        <v>0.00</v>
      </c>
      <c r="W107" s="798" t="str">
        <f t="shared" si="10"/>
        <v>0.00-0.00-0.00-0.00</v>
      </c>
    </row>
  </sheetData>
  <sheetProtection sheet="1" objects="1" scenarios="1"/>
  <mergeCells count="29">
    <mergeCell ref="D7:N7"/>
    <mergeCell ref="C3:E3"/>
    <mergeCell ref="A5:B5"/>
    <mergeCell ref="C5:E5"/>
    <mergeCell ref="F5:H5"/>
    <mergeCell ref="I5:L5"/>
    <mergeCell ref="M5:N5"/>
    <mergeCell ref="A6:B6"/>
    <mergeCell ref="C6:E6"/>
    <mergeCell ref="F6:H6"/>
    <mergeCell ref="I6:L6"/>
    <mergeCell ref="M6:N6"/>
    <mergeCell ref="D8:M8"/>
    <mergeCell ref="A12:A13"/>
    <mergeCell ref="A32:A33"/>
    <mergeCell ref="A55:B55"/>
    <mergeCell ref="C55:E55"/>
    <mergeCell ref="F55:H55"/>
    <mergeCell ref="I55:L55"/>
    <mergeCell ref="M55:N55"/>
    <mergeCell ref="D58:M58"/>
    <mergeCell ref="A62:A63"/>
    <mergeCell ref="A82:A83"/>
    <mergeCell ref="A56:B56"/>
    <mergeCell ref="C56:E56"/>
    <mergeCell ref="F56:H56"/>
    <mergeCell ref="I56:L56"/>
    <mergeCell ref="M56:N56"/>
    <mergeCell ref="D57:N57"/>
  </mergeCells>
  <conditionalFormatting sqref="F102:I107">
    <cfRule type="containsErrors" dxfId="65" priority="35">
      <formula>ISERROR(F102)</formula>
    </cfRule>
  </conditionalFormatting>
  <conditionalFormatting sqref="N10:N49">
    <cfRule type="expression" dxfId="64" priority="25">
      <formula>IF(OR(ISNUMBER(D10),ISTEXT(D10)),1,0)</formula>
    </cfRule>
    <cfRule type="containsErrors" dxfId="63" priority="26">
      <formula>ISERROR(N10)</formula>
    </cfRule>
  </conditionalFormatting>
  <conditionalFormatting sqref="O22:O25">
    <cfRule type="expression" dxfId="62" priority="24">
      <formula>IF(OR(ISNUMBER(D22),ISTEXT(D22)),1,0)</formula>
    </cfRule>
  </conditionalFormatting>
  <conditionalFormatting sqref="O42:O45">
    <cfRule type="expression" dxfId="61" priority="23">
      <formula>IF(OR(ISNUMBER(D42),ISTEXT(D42)),1,0)</formula>
    </cfRule>
  </conditionalFormatting>
  <conditionalFormatting sqref="O72:O75">
    <cfRule type="expression" dxfId="60" priority="22">
      <formula>IF(OR(ISNUMBER(D72),ISTEXT(D72)),1,0)</formula>
    </cfRule>
  </conditionalFormatting>
  <conditionalFormatting sqref="O92:O95">
    <cfRule type="expression" dxfId="59" priority="21">
      <formula>IF(OR(ISNUMBER(D92),ISTEXT(D92)),1,0)</formula>
    </cfRule>
  </conditionalFormatting>
  <conditionalFormatting sqref="N60:N63">
    <cfRule type="expression" dxfId="58" priority="19">
      <formula>IF(OR(ISNUMBER(D60),ISTEXT(D60)),1,0)</formula>
    </cfRule>
    <cfRule type="containsErrors" dxfId="57" priority="20">
      <formula>ISERROR(N60)</formula>
    </cfRule>
  </conditionalFormatting>
  <conditionalFormatting sqref="N64:N67">
    <cfRule type="expression" dxfId="56" priority="17">
      <formula>IF(OR(ISNUMBER(D64),ISTEXT(D64)),1,0)</formula>
    </cfRule>
    <cfRule type="containsErrors" dxfId="55" priority="18">
      <formula>ISERROR(N64)</formula>
    </cfRule>
  </conditionalFormatting>
  <conditionalFormatting sqref="N68:N71">
    <cfRule type="expression" dxfId="54" priority="15">
      <formula>IF(OR(ISNUMBER(D68),ISTEXT(D68)),1,0)</formula>
    </cfRule>
    <cfRule type="containsErrors" dxfId="53" priority="16">
      <formula>ISERROR(N68)</formula>
    </cfRule>
  </conditionalFormatting>
  <conditionalFormatting sqref="N72:N75">
    <cfRule type="expression" dxfId="52" priority="13">
      <formula>IF(OR(ISNUMBER(D72),ISTEXT(D72)),1,0)</formula>
    </cfRule>
    <cfRule type="containsErrors" dxfId="51" priority="14">
      <formula>ISERROR(N72)</formula>
    </cfRule>
  </conditionalFormatting>
  <conditionalFormatting sqref="N76:N79">
    <cfRule type="expression" dxfId="50" priority="11">
      <formula>IF(OR(ISNUMBER(D76),ISTEXT(D76)),1,0)</formula>
    </cfRule>
    <cfRule type="containsErrors" dxfId="49" priority="12">
      <formula>ISERROR(N76)</formula>
    </cfRule>
  </conditionalFormatting>
  <conditionalFormatting sqref="N92:N95">
    <cfRule type="expression" dxfId="48" priority="9">
      <formula>IF(OR(ISNUMBER(D92),ISTEXT(D92)),1,0)</formula>
    </cfRule>
    <cfRule type="containsErrors" dxfId="47" priority="10">
      <formula>ISERROR(N92)</formula>
    </cfRule>
  </conditionalFormatting>
  <conditionalFormatting sqref="N80:N83">
    <cfRule type="expression" dxfId="46" priority="7">
      <formula>IF(OR(ISNUMBER(D80),ISTEXT(D80)),1,0)</formula>
    </cfRule>
    <cfRule type="containsErrors" dxfId="45" priority="8">
      <formula>ISERROR(N80)</formula>
    </cfRule>
  </conditionalFormatting>
  <conditionalFormatting sqref="N84:N87">
    <cfRule type="expression" dxfId="44" priority="5">
      <formula>IF(OR(ISNUMBER(D84),ISTEXT(D84)),1,0)</formula>
    </cfRule>
    <cfRule type="containsErrors" dxfId="43" priority="6">
      <formula>ISERROR(N84)</formula>
    </cfRule>
  </conditionalFormatting>
  <conditionalFormatting sqref="N88:N91">
    <cfRule type="expression" dxfId="42" priority="3">
      <formula>IF(OR(ISNUMBER(D88),ISTEXT(D88)),1,0)</formula>
    </cfRule>
    <cfRule type="containsErrors" dxfId="41" priority="4">
      <formula>ISERROR(N88)</formula>
    </cfRule>
  </conditionalFormatting>
  <conditionalFormatting sqref="N96:N99">
    <cfRule type="expression" dxfId="40" priority="1">
      <formula>IF(OR(ISNUMBER(D96),ISTEXT(D96)),1,0)</formula>
    </cfRule>
    <cfRule type="containsErrors" dxfId="39" priority="2">
      <formula>ISERROR(N96)</formula>
    </cfRule>
  </conditionalFormatting>
  <dataValidations count="1">
    <dataValidation type="list" allowBlank="1" showInputMessage="1" showErrorMessage="1" sqref="WVK983043:WVM983043 IY3:JA3 SU3:SW3 ACQ3:ACS3 AMM3:AMO3 AWI3:AWK3 BGE3:BGG3 BQA3:BQC3 BZW3:BZY3 CJS3:CJU3 CTO3:CTQ3 DDK3:DDM3 DNG3:DNI3 DXC3:DXE3 EGY3:EHA3 EQU3:EQW3 FAQ3:FAS3 FKM3:FKO3 FUI3:FUK3 GEE3:GEG3 GOA3:GOC3 GXW3:GXY3 HHS3:HHU3 HRO3:HRQ3 IBK3:IBM3 ILG3:ILI3 IVC3:IVE3 JEY3:JFA3 JOU3:JOW3 JYQ3:JYS3 KIM3:KIO3 KSI3:KSK3 LCE3:LCG3 LMA3:LMC3 LVW3:LVY3 MFS3:MFU3 MPO3:MPQ3 MZK3:MZM3 NJG3:NJI3 NTC3:NTE3 OCY3:ODA3 OMU3:OMW3 OWQ3:OWS3 PGM3:PGO3 PQI3:PQK3 QAE3:QAG3 QKA3:QKC3 QTW3:QTY3 RDS3:RDU3 RNO3:RNQ3 RXK3:RXM3 SHG3:SHI3 SRC3:SRE3 TAY3:TBA3 TKU3:TKW3 TUQ3:TUS3 UEM3:UEO3 UOI3:UOK3 UYE3:UYG3 VIA3:VIC3 VRW3:VRY3 WBS3:WBU3 WLO3:WLQ3 WVK3:WVM3 C65539:E65539 IY65539:JA65539 SU65539:SW65539 ACQ65539:ACS65539 AMM65539:AMO65539 AWI65539:AWK65539 BGE65539:BGG65539 BQA65539:BQC65539 BZW65539:BZY65539 CJS65539:CJU65539 CTO65539:CTQ65539 DDK65539:DDM65539 DNG65539:DNI65539 DXC65539:DXE65539 EGY65539:EHA65539 EQU65539:EQW65539 FAQ65539:FAS65539 FKM65539:FKO65539 FUI65539:FUK65539 GEE65539:GEG65539 GOA65539:GOC65539 GXW65539:GXY65539 HHS65539:HHU65539 HRO65539:HRQ65539 IBK65539:IBM65539 ILG65539:ILI65539 IVC65539:IVE65539 JEY65539:JFA65539 JOU65539:JOW65539 JYQ65539:JYS65539 KIM65539:KIO65539 KSI65539:KSK65539 LCE65539:LCG65539 LMA65539:LMC65539 LVW65539:LVY65539 MFS65539:MFU65539 MPO65539:MPQ65539 MZK65539:MZM65539 NJG65539:NJI65539 NTC65539:NTE65539 OCY65539:ODA65539 OMU65539:OMW65539 OWQ65539:OWS65539 PGM65539:PGO65539 PQI65539:PQK65539 QAE65539:QAG65539 QKA65539:QKC65539 QTW65539:QTY65539 RDS65539:RDU65539 RNO65539:RNQ65539 RXK65539:RXM65539 SHG65539:SHI65539 SRC65539:SRE65539 TAY65539:TBA65539 TKU65539:TKW65539 TUQ65539:TUS65539 UEM65539:UEO65539 UOI65539:UOK65539 UYE65539:UYG65539 VIA65539:VIC65539 VRW65539:VRY65539 WBS65539:WBU65539 WLO65539:WLQ65539 WVK65539:WVM65539 C131075:E131075 IY131075:JA131075 SU131075:SW131075 ACQ131075:ACS131075 AMM131075:AMO131075 AWI131075:AWK131075 BGE131075:BGG131075 BQA131075:BQC131075 BZW131075:BZY131075 CJS131075:CJU131075 CTO131075:CTQ131075 DDK131075:DDM131075 DNG131075:DNI131075 DXC131075:DXE131075 EGY131075:EHA131075 EQU131075:EQW131075 FAQ131075:FAS131075 FKM131075:FKO131075 FUI131075:FUK131075 GEE131075:GEG131075 GOA131075:GOC131075 GXW131075:GXY131075 HHS131075:HHU131075 HRO131075:HRQ131075 IBK131075:IBM131075 ILG131075:ILI131075 IVC131075:IVE131075 JEY131075:JFA131075 JOU131075:JOW131075 JYQ131075:JYS131075 KIM131075:KIO131075 KSI131075:KSK131075 LCE131075:LCG131075 LMA131075:LMC131075 LVW131075:LVY131075 MFS131075:MFU131075 MPO131075:MPQ131075 MZK131075:MZM131075 NJG131075:NJI131075 NTC131075:NTE131075 OCY131075:ODA131075 OMU131075:OMW131075 OWQ131075:OWS131075 PGM131075:PGO131075 PQI131075:PQK131075 QAE131075:QAG131075 QKA131075:QKC131075 QTW131075:QTY131075 RDS131075:RDU131075 RNO131075:RNQ131075 RXK131075:RXM131075 SHG131075:SHI131075 SRC131075:SRE131075 TAY131075:TBA131075 TKU131075:TKW131075 TUQ131075:TUS131075 UEM131075:UEO131075 UOI131075:UOK131075 UYE131075:UYG131075 VIA131075:VIC131075 VRW131075:VRY131075 WBS131075:WBU131075 WLO131075:WLQ131075 WVK131075:WVM131075 C196611:E196611 IY196611:JA196611 SU196611:SW196611 ACQ196611:ACS196611 AMM196611:AMO196611 AWI196611:AWK196611 BGE196611:BGG196611 BQA196611:BQC196611 BZW196611:BZY196611 CJS196611:CJU196611 CTO196611:CTQ196611 DDK196611:DDM196611 DNG196611:DNI196611 DXC196611:DXE196611 EGY196611:EHA196611 EQU196611:EQW196611 FAQ196611:FAS196611 FKM196611:FKO196611 FUI196611:FUK196611 GEE196611:GEG196611 GOA196611:GOC196611 GXW196611:GXY196611 HHS196611:HHU196611 HRO196611:HRQ196611 IBK196611:IBM196611 ILG196611:ILI196611 IVC196611:IVE196611 JEY196611:JFA196611 JOU196611:JOW196611 JYQ196611:JYS196611 KIM196611:KIO196611 KSI196611:KSK196611 LCE196611:LCG196611 LMA196611:LMC196611 LVW196611:LVY196611 MFS196611:MFU196611 MPO196611:MPQ196611 MZK196611:MZM196611 NJG196611:NJI196611 NTC196611:NTE196611 OCY196611:ODA196611 OMU196611:OMW196611 OWQ196611:OWS196611 PGM196611:PGO196611 PQI196611:PQK196611 QAE196611:QAG196611 QKA196611:QKC196611 QTW196611:QTY196611 RDS196611:RDU196611 RNO196611:RNQ196611 RXK196611:RXM196611 SHG196611:SHI196611 SRC196611:SRE196611 TAY196611:TBA196611 TKU196611:TKW196611 TUQ196611:TUS196611 UEM196611:UEO196611 UOI196611:UOK196611 UYE196611:UYG196611 VIA196611:VIC196611 VRW196611:VRY196611 WBS196611:WBU196611 WLO196611:WLQ196611 WVK196611:WVM196611 C262147:E262147 IY262147:JA262147 SU262147:SW262147 ACQ262147:ACS262147 AMM262147:AMO262147 AWI262147:AWK262147 BGE262147:BGG262147 BQA262147:BQC262147 BZW262147:BZY262147 CJS262147:CJU262147 CTO262147:CTQ262147 DDK262147:DDM262147 DNG262147:DNI262147 DXC262147:DXE262147 EGY262147:EHA262147 EQU262147:EQW262147 FAQ262147:FAS262147 FKM262147:FKO262147 FUI262147:FUK262147 GEE262147:GEG262147 GOA262147:GOC262147 GXW262147:GXY262147 HHS262147:HHU262147 HRO262147:HRQ262147 IBK262147:IBM262147 ILG262147:ILI262147 IVC262147:IVE262147 JEY262147:JFA262147 JOU262147:JOW262147 JYQ262147:JYS262147 KIM262147:KIO262147 KSI262147:KSK262147 LCE262147:LCG262147 LMA262147:LMC262147 LVW262147:LVY262147 MFS262147:MFU262147 MPO262147:MPQ262147 MZK262147:MZM262147 NJG262147:NJI262147 NTC262147:NTE262147 OCY262147:ODA262147 OMU262147:OMW262147 OWQ262147:OWS262147 PGM262147:PGO262147 PQI262147:PQK262147 QAE262147:QAG262147 QKA262147:QKC262147 QTW262147:QTY262147 RDS262147:RDU262147 RNO262147:RNQ262147 RXK262147:RXM262147 SHG262147:SHI262147 SRC262147:SRE262147 TAY262147:TBA262147 TKU262147:TKW262147 TUQ262147:TUS262147 UEM262147:UEO262147 UOI262147:UOK262147 UYE262147:UYG262147 VIA262147:VIC262147 VRW262147:VRY262147 WBS262147:WBU262147 WLO262147:WLQ262147 WVK262147:WVM262147 C327683:E327683 IY327683:JA327683 SU327683:SW327683 ACQ327683:ACS327683 AMM327683:AMO327683 AWI327683:AWK327683 BGE327683:BGG327683 BQA327683:BQC327683 BZW327683:BZY327683 CJS327683:CJU327683 CTO327683:CTQ327683 DDK327683:DDM327683 DNG327683:DNI327683 DXC327683:DXE327683 EGY327683:EHA327683 EQU327683:EQW327683 FAQ327683:FAS327683 FKM327683:FKO327683 FUI327683:FUK327683 GEE327683:GEG327683 GOA327683:GOC327683 GXW327683:GXY327683 HHS327683:HHU327683 HRO327683:HRQ327683 IBK327683:IBM327683 ILG327683:ILI327683 IVC327683:IVE327683 JEY327683:JFA327683 JOU327683:JOW327683 JYQ327683:JYS327683 KIM327683:KIO327683 KSI327683:KSK327683 LCE327683:LCG327683 LMA327683:LMC327683 LVW327683:LVY327683 MFS327683:MFU327683 MPO327683:MPQ327683 MZK327683:MZM327683 NJG327683:NJI327683 NTC327683:NTE327683 OCY327683:ODA327683 OMU327683:OMW327683 OWQ327683:OWS327683 PGM327683:PGO327683 PQI327683:PQK327683 QAE327683:QAG327683 QKA327683:QKC327683 QTW327683:QTY327683 RDS327683:RDU327683 RNO327683:RNQ327683 RXK327683:RXM327683 SHG327683:SHI327683 SRC327683:SRE327683 TAY327683:TBA327683 TKU327683:TKW327683 TUQ327683:TUS327683 UEM327683:UEO327683 UOI327683:UOK327683 UYE327683:UYG327683 VIA327683:VIC327683 VRW327683:VRY327683 WBS327683:WBU327683 WLO327683:WLQ327683 WVK327683:WVM327683 C393219:E393219 IY393219:JA393219 SU393219:SW393219 ACQ393219:ACS393219 AMM393219:AMO393219 AWI393219:AWK393219 BGE393219:BGG393219 BQA393219:BQC393219 BZW393219:BZY393219 CJS393219:CJU393219 CTO393219:CTQ393219 DDK393219:DDM393219 DNG393219:DNI393219 DXC393219:DXE393219 EGY393219:EHA393219 EQU393219:EQW393219 FAQ393219:FAS393219 FKM393219:FKO393219 FUI393219:FUK393219 GEE393219:GEG393219 GOA393219:GOC393219 GXW393219:GXY393219 HHS393219:HHU393219 HRO393219:HRQ393219 IBK393219:IBM393219 ILG393219:ILI393219 IVC393219:IVE393219 JEY393219:JFA393219 JOU393219:JOW393219 JYQ393219:JYS393219 KIM393219:KIO393219 KSI393219:KSK393219 LCE393219:LCG393219 LMA393219:LMC393219 LVW393219:LVY393219 MFS393219:MFU393219 MPO393219:MPQ393219 MZK393219:MZM393219 NJG393219:NJI393219 NTC393219:NTE393219 OCY393219:ODA393219 OMU393219:OMW393219 OWQ393219:OWS393219 PGM393219:PGO393219 PQI393219:PQK393219 QAE393219:QAG393219 QKA393219:QKC393219 QTW393219:QTY393219 RDS393219:RDU393219 RNO393219:RNQ393219 RXK393219:RXM393219 SHG393219:SHI393219 SRC393219:SRE393219 TAY393219:TBA393219 TKU393219:TKW393219 TUQ393219:TUS393219 UEM393219:UEO393219 UOI393219:UOK393219 UYE393219:UYG393219 VIA393219:VIC393219 VRW393219:VRY393219 WBS393219:WBU393219 WLO393219:WLQ393219 WVK393219:WVM393219 C458755:E458755 IY458755:JA458755 SU458755:SW458755 ACQ458755:ACS458755 AMM458755:AMO458755 AWI458755:AWK458755 BGE458755:BGG458755 BQA458755:BQC458755 BZW458755:BZY458755 CJS458755:CJU458755 CTO458755:CTQ458755 DDK458755:DDM458755 DNG458755:DNI458755 DXC458755:DXE458755 EGY458755:EHA458755 EQU458755:EQW458755 FAQ458755:FAS458755 FKM458755:FKO458755 FUI458755:FUK458755 GEE458755:GEG458755 GOA458755:GOC458755 GXW458755:GXY458755 HHS458755:HHU458755 HRO458755:HRQ458755 IBK458755:IBM458755 ILG458755:ILI458755 IVC458755:IVE458755 JEY458755:JFA458755 JOU458755:JOW458755 JYQ458755:JYS458755 KIM458755:KIO458755 KSI458755:KSK458755 LCE458755:LCG458755 LMA458755:LMC458755 LVW458755:LVY458755 MFS458755:MFU458755 MPO458755:MPQ458755 MZK458755:MZM458755 NJG458755:NJI458755 NTC458755:NTE458755 OCY458755:ODA458755 OMU458755:OMW458755 OWQ458755:OWS458755 PGM458755:PGO458755 PQI458755:PQK458755 QAE458755:QAG458755 QKA458755:QKC458755 QTW458755:QTY458755 RDS458755:RDU458755 RNO458755:RNQ458755 RXK458755:RXM458755 SHG458755:SHI458755 SRC458755:SRE458755 TAY458755:TBA458755 TKU458755:TKW458755 TUQ458755:TUS458755 UEM458755:UEO458755 UOI458755:UOK458755 UYE458755:UYG458755 VIA458755:VIC458755 VRW458755:VRY458755 WBS458755:WBU458755 WLO458755:WLQ458755 WVK458755:WVM458755 C524291:E524291 IY524291:JA524291 SU524291:SW524291 ACQ524291:ACS524291 AMM524291:AMO524291 AWI524291:AWK524291 BGE524291:BGG524291 BQA524291:BQC524291 BZW524291:BZY524291 CJS524291:CJU524291 CTO524291:CTQ524291 DDK524291:DDM524291 DNG524291:DNI524291 DXC524291:DXE524291 EGY524291:EHA524291 EQU524291:EQW524291 FAQ524291:FAS524291 FKM524291:FKO524291 FUI524291:FUK524291 GEE524291:GEG524291 GOA524291:GOC524291 GXW524291:GXY524291 HHS524291:HHU524291 HRO524291:HRQ524291 IBK524291:IBM524291 ILG524291:ILI524291 IVC524291:IVE524291 JEY524291:JFA524291 JOU524291:JOW524291 JYQ524291:JYS524291 KIM524291:KIO524291 KSI524291:KSK524291 LCE524291:LCG524291 LMA524291:LMC524291 LVW524291:LVY524291 MFS524291:MFU524291 MPO524291:MPQ524291 MZK524291:MZM524291 NJG524291:NJI524291 NTC524291:NTE524291 OCY524291:ODA524291 OMU524291:OMW524291 OWQ524291:OWS524291 PGM524291:PGO524291 PQI524291:PQK524291 QAE524291:QAG524291 QKA524291:QKC524291 QTW524291:QTY524291 RDS524291:RDU524291 RNO524291:RNQ524291 RXK524291:RXM524291 SHG524291:SHI524291 SRC524291:SRE524291 TAY524291:TBA524291 TKU524291:TKW524291 TUQ524291:TUS524291 UEM524291:UEO524291 UOI524291:UOK524291 UYE524291:UYG524291 VIA524291:VIC524291 VRW524291:VRY524291 WBS524291:WBU524291 WLO524291:WLQ524291 WVK524291:WVM524291 C589827:E589827 IY589827:JA589827 SU589827:SW589827 ACQ589827:ACS589827 AMM589827:AMO589827 AWI589827:AWK589827 BGE589827:BGG589827 BQA589827:BQC589827 BZW589827:BZY589827 CJS589827:CJU589827 CTO589827:CTQ589827 DDK589827:DDM589827 DNG589827:DNI589827 DXC589827:DXE589827 EGY589827:EHA589827 EQU589827:EQW589827 FAQ589827:FAS589827 FKM589827:FKO589827 FUI589827:FUK589827 GEE589827:GEG589827 GOA589827:GOC589827 GXW589827:GXY589827 HHS589827:HHU589827 HRO589827:HRQ589827 IBK589827:IBM589827 ILG589827:ILI589827 IVC589827:IVE589827 JEY589827:JFA589827 JOU589827:JOW589827 JYQ589827:JYS589827 KIM589827:KIO589827 KSI589827:KSK589827 LCE589827:LCG589827 LMA589827:LMC589827 LVW589827:LVY589827 MFS589827:MFU589827 MPO589827:MPQ589827 MZK589827:MZM589827 NJG589827:NJI589827 NTC589827:NTE589827 OCY589827:ODA589827 OMU589827:OMW589827 OWQ589827:OWS589827 PGM589827:PGO589827 PQI589827:PQK589827 QAE589827:QAG589827 QKA589827:QKC589827 QTW589827:QTY589827 RDS589827:RDU589827 RNO589827:RNQ589827 RXK589827:RXM589827 SHG589827:SHI589827 SRC589827:SRE589827 TAY589827:TBA589827 TKU589827:TKW589827 TUQ589827:TUS589827 UEM589827:UEO589827 UOI589827:UOK589827 UYE589827:UYG589827 VIA589827:VIC589827 VRW589827:VRY589827 WBS589827:WBU589827 WLO589827:WLQ589827 WVK589827:WVM589827 C655363:E655363 IY655363:JA655363 SU655363:SW655363 ACQ655363:ACS655363 AMM655363:AMO655363 AWI655363:AWK655363 BGE655363:BGG655363 BQA655363:BQC655363 BZW655363:BZY655363 CJS655363:CJU655363 CTO655363:CTQ655363 DDK655363:DDM655363 DNG655363:DNI655363 DXC655363:DXE655363 EGY655363:EHA655363 EQU655363:EQW655363 FAQ655363:FAS655363 FKM655363:FKO655363 FUI655363:FUK655363 GEE655363:GEG655363 GOA655363:GOC655363 GXW655363:GXY655363 HHS655363:HHU655363 HRO655363:HRQ655363 IBK655363:IBM655363 ILG655363:ILI655363 IVC655363:IVE655363 JEY655363:JFA655363 JOU655363:JOW655363 JYQ655363:JYS655363 KIM655363:KIO655363 KSI655363:KSK655363 LCE655363:LCG655363 LMA655363:LMC655363 LVW655363:LVY655363 MFS655363:MFU655363 MPO655363:MPQ655363 MZK655363:MZM655363 NJG655363:NJI655363 NTC655363:NTE655363 OCY655363:ODA655363 OMU655363:OMW655363 OWQ655363:OWS655363 PGM655363:PGO655363 PQI655363:PQK655363 QAE655363:QAG655363 QKA655363:QKC655363 QTW655363:QTY655363 RDS655363:RDU655363 RNO655363:RNQ655363 RXK655363:RXM655363 SHG655363:SHI655363 SRC655363:SRE655363 TAY655363:TBA655363 TKU655363:TKW655363 TUQ655363:TUS655363 UEM655363:UEO655363 UOI655363:UOK655363 UYE655363:UYG655363 VIA655363:VIC655363 VRW655363:VRY655363 WBS655363:WBU655363 WLO655363:WLQ655363 WVK655363:WVM655363 C720899:E720899 IY720899:JA720899 SU720899:SW720899 ACQ720899:ACS720899 AMM720899:AMO720899 AWI720899:AWK720899 BGE720899:BGG720899 BQA720899:BQC720899 BZW720899:BZY720899 CJS720899:CJU720899 CTO720899:CTQ720899 DDK720899:DDM720899 DNG720899:DNI720899 DXC720899:DXE720899 EGY720899:EHA720899 EQU720899:EQW720899 FAQ720899:FAS720899 FKM720899:FKO720899 FUI720899:FUK720899 GEE720899:GEG720899 GOA720899:GOC720899 GXW720899:GXY720899 HHS720899:HHU720899 HRO720899:HRQ720899 IBK720899:IBM720899 ILG720899:ILI720899 IVC720899:IVE720899 JEY720899:JFA720899 JOU720899:JOW720899 JYQ720899:JYS720899 KIM720899:KIO720899 KSI720899:KSK720899 LCE720899:LCG720899 LMA720899:LMC720899 LVW720899:LVY720899 MFS720899:MFU720899 MPO720899:MPQ720899 MZK720899:MZM720899 NJG720899:NJI720899 NTC720899:NTE720899 OCY720899:ODA720899 OMU720899:OMW720899 OWQ720899:OWS720899 PGM720899:PGO720899 PQI720899:PQK720899 QAE720899:QAG720899 QKA720899:QKC720899 QTW720899:QTY720899 RDS720899:RDU720899 RNO720899:RNQ720899 RXK720899:RXM720899 SHG720899:SHI720899 SRC720899:SRE720899 TAY720899:TBA720899 TKU720899:TKW720899 TUQ720899:TUS720899 UEM720899:UEO720899 UOI720899:UOK720899 UYE720899:UYG720899 VIA720899:VIC720899 VRW720899:VRY720899 WBS720899:WBU720899 WLO720899:WLQ720899 WVK720899:WVM720899 C786435:E786435 IY786435:JA786435 SU786435:SW786435 ACQ786435:ACS786435 AMM786435:AMO786435 AWI786435:AWK786435 BGE786435:BGG786435 BQA786435:BQC786435 BZW786435:BZY786435 CJS786435:CJU786435 CTO786435:CTQ786435 DDK786435:DDM786435 DNG786435:DNI786435 DXC786435:DXE786435 EGY786435:EHA786435 EQU786435:EQW786435 FAQ786435:FAS786435 FKM786435:FKO786435 FUI786435:FUK786435 GEE786435:GEG786435 GOA786435:GOC786435 GXW786435:GXY786435 HHS786435:HHU786435 HRO786435:HRQ786435 IBK786435:IBM786435 ILG786435:ILI786435 IVC786435:IVE786435 JEY786435:JFA786435 JOU786435:JOW786435 JYQ786435:JYS786435 KIM786435:KIO786435 KSI786435:KSK786435 LCE786435:LCG786435 LMA786435:LMC786435 LVW786435:LVY786435 MFS786435:MFU786435 MPO786435:MPQ786435 MZK786435:MZM786435 NJG786435:NJI786435 NTC786435:NTE786435 OCY786435:ODA786435 OMU786435:OMW786435 OWQ786435:OWS786435 PGM786435:PGO786435 PQI786435:PQK786435 QAE786435:QAG786435 QKA786435:QKC786435 QTW786435:QTY786435 RDS786435:RDU786435 RNO786435:RNQ786435 RXK786435:RXM786435 SHG786435:SHI786435 SRC786435:SRE786435 TAY786435:TBA786435 TKU786435:TKW786435 TUQ786435:TUS786435 UEM786435:UEO786435 UOI786435:UOK786435 UYE786435:UYG786435 VIA786435:VIC786435 VRW786435:VRY786435 WBS786435:WBU786435 WLO786435:WLQ786435 WVK786435:WVM786435 C851971:E851971 IY851971:JA851971 SU851971:SW851971 ACQ851971:ACS851971 AMM851971:AMO851971 AWI851971:AWK851971 BGE851971:BGG851971 BQA851971:BQC851971 BZW851971:BZY851971 CJS851971:CJU851971 CTO851971:CTQ851971 DDK851971:DDM851971 DNG851971:DNI851971 DXC851971:DXE851971 EGY851971:EHA851971 EQU851971:EQW851971 FAQ851971:FAS851971 FKM851971:FKO851971 FUI851971:FUK851971 GEE851971:GEG851971 GOA851971:GOC851971 GXW851971:GXY851971 HHS851971:HHU851971 HRO851971:HRQ851971 IBK851971:IBM851971 ILG851971:ILI851971 IVC851971:IVE851971 JEY851971:JFA851971 JOU851971:JOW851971 JYQ851971:JYS851971 KIM851971:KIO851971 KSI851971:KSK851971 LCE851971:LCG851971 LMA851971:LMC851971 LVW851971:LVY851971 MFS851971:MFU851971 MPO851971:MPQ851971 MZK851971:MZM851971 NJG851971:NJI851971 NTC851971:NTE851971 OCY851971:ODA851971 OMU851971:OMW851971 OWQ851971:OWS851971 PGM851971:PGO851971 PQI851971:PQK851971 QAE851971:QAG851971 QKA851971:QKC851971 QTW851971:QTY851971 RDS851971:RDU851971 RNO851971:RNQ851971 RXK851971:RXM851971 SHG851971:SHI851971 SRC851971:SRE851971 TAY851971:TBA851971 TKU851971:TKW851971 TUQ851971:TUS851971 UEM851971:UEO851971 UOI851971:UOK851971 UYE851971:UYG851971 VIA851971:VIC851971 VRW851971:VRY851971 WBS851971:WBU851971 WLO851971:WLQ851971 WVK851971:WVM851971 C917507:E917507 IY917507:JA917507 SU917507:SW917507 ACQ917507:ACS917507 AMM917507:AMO917507 AWI917507:AWK917507 BGE917507:BGG917507 BQA917507:BQC917507 BZW917507:BZY917507 CJS917507:CJU917507 CTO917507:CTQ917507 DDK917507:DDM917507 DNG917507:DNI917507 DXC917507:DXE917507 EGY917507:EHA917507 EQU917507:EQW917507 FAQ917507:FAS917507 FKM917507:FKO917507 FUI917507:FUK917507 GEE917507:GEG917507 GOA917507:GOC917507 GXW917507:GXY917507 HHS917507:HHU917507 HRO917507:HRQ917507 IBK917507:IBM917507 ILG917507:ILI917507 IVC917507:IVE917507 JEY917507:JFA917507 JOU917507:JOW917507 JYQ917507:JYS917507 KIM917507:KIO917507 KSI917507:KSK917507 LCE917507:LCG917507 LMA917507:LMC917507 LVW917507:LVY917507 MFS917507:MFU917507 MPO917507:MPQ917507 MZK917507:MZM917507 NJG917507:NJI917507 NTC917507:NTE917507 OCY917507:ODA917507 OMU917507:OMW917507 OWQ917507:OWS917507 PGM917507:PGO917507 PQI917507:PQK917507 QAE917507:QAG917507 QKA917507:QKC917507 QTW917507:QTY917507 RDS917507:RDU917507 RNO917507:RNQ917507 RXK917507:RXM917507 SHG917507:SHI917507 SRC917507:SRE917507 TAY917507:TBA917507 TKU917507:TKW917507 TUQ917507:TUS917507 UEM917507:UEO917507 UOI917507:UOK917507 UYE917507:UYG917507 VIA917507:VIC917507 VRW917507:VRY917507 WBS917507:WBU917507 WLO917507:WLQ917507 WVK917507:WVM917507 C983043:E983043 IY983043:JA983043 SU983043:SW983043 ACQ983043:ACS983043 AMM983043:AMO983043 AWI983043:AWK983043 BGE983043:BGG983043 BQA983043:BQC983043 BZW983043:BZY983043 CJS983043:CJU983043 CTO983043:CTQ983043 DDK983043:DDM983043 DNG983043:DNI983043 DXC983043:DXE983043 EGY983043:EHA983043 EQU983043:EQW983043 FAQ983043:FAS983043 FKM983043:FKO983043 FUI983043:FUK983043 GEE983043:GEG983043 GOA983043:GOC983043 GXW983043:GXY983043 HHS983043:HHU983043 HRO983043:HRQ983043 IBK983043:IBM983043 ILG983043:ILI983043 IVC983043:IVE983043 JEY983043:JFA983043 JOU983043:JOW983043 JYQ983043:JYS983043 KIM983043:KIO983043 KSI983043:KSK983043 LCE983043:LCG983043 LMA983043:LMC983043 LVW983043:LVY983043 MFS983043:MFU983043 MPO983043:MPQ983043 MZK983043:MZM983043 NJG983043:NJI983043 NTC983043:NTE983043 OCY983043:ODA983043 OMU983043:OMW983043 OWQ983043:OWS983043 PGM983043:PGO983043 PQI983043:PQK983043 QAE983043:QAG983043 QKA983043:QKC983043 QTW983043:QTY983043 RDS983043:RDU983043 RNO983043:RNQ983043 RXK983043:RXM983043 SHG983043:SHI983043 SRC983043:SRE983043 TAY983043:TBA983043 TKU983043:TKW983043 TUQ983043:TUS983043 UEM983043:UEO983043 UOI983043:UOK983043 UYE983043:UYG983043 VIA983043:VIC983043 VRW983043:VRY983043 WBS983043:WBU983043 WLO983043:WLQ983043">
      <formula1>$Q$2:$Q$8</formula1>
    </dataValidation>
  </dataValidations>
  <pageMargins left="0.6692913385826772" right="0.70866141732283472" top="0.98425196850393704" bottom="0.59055118110236227" header="0.51181102362204722" footer="0.35433070866141736"/>
  <pageSetup paperSize="9" orientation="portrait" r:id="rId1"/>
  <headerFooter alignWithMargins="0">
    <oddHeader>&amp;L&amp;F</oddHeader>
  </headerFooter>
  <rowBreaks count="1" manualBreakCount="1">
    <brk id="5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zoomScaleNormal="100" workbookViewId="0">
      <selection activeCell="F17" sqref="F17"/>
    </sheetView>
  </sheetViews>
  <sheetFormatPr defaultRowHeight="12.75" x14ac:dyDescent="0.2"/>
  <cols>
    <col min="1" max="1" width="7.28515625" style="753" customWidth="1"/>
    <col min="2" max="2" width="13.7109375" style="753" customWidth="1"/>
    <col min="3" max="3" width="8.28515625" style="753" customWidth="1"/>
    <col min="4" max="10" width="4.7109375" style="753" customWidth="1"/>
    <col min="11" max="13" width="4.28515625" style="753" customWidth="1"/>
    <col min="14" max="14" width="6.140625" style="753" customWidth="1"/>
    <col min="15" max="15" width="6" style="753" customWidth="1"/>
    <col min="16" max="16" width="12.28515625" style="753" customWidth="1"/>
    <col min="17" max="20" width="7.85546875" style="753" hidden="1" customWidth="1"/>
    <col min="21" max="22" width="5" style="753" hidden="1" customWidth="1"/>
    <col min="23" max="23" width="0" style="753" hidden="1" customWidth="1"/>
    <col min="24" max="256" width="9.140625" style="753"/>
    <col min="257" max="257" width="7.28515625" style="753" customWidth="1"/>
    <col min="258" max="258" width="13.7109375" style="753" customWidth="1"/>
    <col min="259" max="259" width="8.28515625" style="753" customWidth="1"/>
    <col min="260" max="266" width="4.7109375" style="753" customWidth="1"/>
    <col min="267" max="269" width="4.28515625" style="753" customWidth="1"/>
    <col min="270" max="270" width="6.140625" style="753" customWidth="1"/>
    <col min="271" max="271" width="6" style="753" customWidth="1"/>
    <col min="272" max="272" width="12.28515625" style="753" customWidth="1"/>
    <col min="273" max="273" width="9.140625" style="753" customWidth="1"/>
    <col min="274" max="274" width="3.85546875" style="753" customWidth="1"/>
    <col min="275" max="277" width="9.140625" style="753" customWidth="1"/>
    <col min="278" max="512" width="9.140625" style="753"/>
    <col min="513" max="513" width="7.28515625" style="753" customWidth="1"/>
    <col min="514" max="514" width="13.7109375" style="753" customWidth="1"/>
    <col min="515" max="515" width="8.28515625" style="753" customWidth="1"/>
    <col min="516" max="522" width="4.7109375" style="753" customWidth="1"/>
    <col min="523" max="525" width="4.28515625" style="753" customWidth="1"/>
    <col min="526" max="526" width="6.140625" style="753" customWidth="1"/>
    <col min="527" max="527" width="6" style="753" customWidth="1"/>
    <col min="528" max="528" width="12.28515625" style="753" customWidth="1"/>
    <col min="529" max="529" width="9.140625" style="753" customWidth="1"/>
    <col min="530" max="530" width="3.85546875" style="753" customWidth="1"/>
    <col min="531" max="533" width="9.140625" style="753" customWidth="1"/>
    <col min="534" max="768" width="9.140625" style="753"/>
    <col min="769" max="769" width="7.28515625" style="753" customWidth="1"/>
    <col min="770" max="770" width="13.7109375" style="753" customWidth="1"/>
    <col min="771" max="771" width="8.28515625" style="753" customWidth="1"/>
    <col min="772" max="778" width="4.7109375" style="753" customWidth="1"/>
    <col min="779" max="781" width="4.28515625" style="753" customWidth="1"/>
    <col min="782" max="782" width="6.140625" style="753" customWidth="1"/>
    <col min="783" max="783" width="6" style="753" customWidth="1"/>
    <col min="784" max="784" width="12.28515625" style="753" customWidth="1"/>
    <col min="785" max="785" width="9.140625" style="753" customWidth="1"/>
    <col min="786" max="786" width="3.85546875" style="753" customWidth="1"/>
    <col min="787" max="789" width="9.140625" style="753" customWidth="1"/>
    <col min="790" max="1024" width="9.140625" style="753"/>
    <col min="1025" max="1025" width="7.28515625" style="753" customWidth="1"/>
    <col min="1026" max="1026" width="13.7109375" style="753" customWidth="1"/>
    <col min="1027" max="1027" width="8.28515625" style="753" customWidth="1"/>
    <col min="1028" max="1034" width="4.7109375" style="753" customWidth="1"/>
    <col min="1035" max="1037" width="4.28515625" style="753" customWidth="1"/>
    <col min="1038" max="1038" width="6.140625" style="753" customWidth="1"/>
    <col min="1039" max="1039" width="6" style="753" customWidth="1"/>
    <col min="1040" max="1040" width="12.28515625" style="753" customWidth="1"/>
    <col min="1041" max="1041" width="9.140625" style="753" customWidth="1"/>
    <col min="1042" max="1042" width="3.85546875" style="753" customWidth="1"/>
    <col min="1043" max="1045" width="9.140625" style="753" customWidth="1"/>
    <col min="1046" max="1280" width="9.140625" style="753"/>
    <col min="1281" max="1281" width="7.28515625" style="753" customWidth="1"/>
    <col min="1282" max="1282" width="13.7109375" style="753" customWidth="1"/>
    <col min="1283" max="1283" width="8.28515625" style="753" customWidth="1"/>
    <col min="1284" max="1290" width="4.7109375" style="753" customWidth="1"/>
    <col min="1291" max="1293" width="4.28515625" style="753" customWidth="1"/>
    <col min="1294" max="1294" width="6.140625" style="753" customWidth="1"/>
    <col min="1295" max="1295" width="6" style="753" customWidth="1"/>
    <col min="1296" max="1296" width="12.28515625" style="753" customWidth="1"/>
    <col min="1297" max="1297" width="9.140625" style="753" customWidth="1"/>
    <col min="1298" max="1298" width="3.85546875" style="753" customWidth="1"/>
    <col min="1299" max="1301" width="9.140625" style="753" customWidth="1"/>
    <col min="1302" max="1536" width="9.140625" style="753"/>
    <col min="1537" max="1537" width="7.28515625" style="753" customWidth="1"/>
    <col min="1538" max="1538" width="13.7109375" style="753" customWidth="1"/>
    <col min="1539" max="1539" width="8.28515625" style="753" customWidth="1"/>
    <col min="1540" max="1546" width="4.7109375" style="753" customWidth="1"/>
    <col min="1547" max="1549" width="4.28515625" style="753" customWidth="1"/>
    <col min="1550" max="1550" width="6.140625" style="753" customWidth="1"/>
    <col min="1551" max="1551" width="6" style="753" customWidth="1"/>
    <col min="1552" max="1552" width="12.28515625" style="753" customWidth="1"/>
    <col min="1553" max="1553" width="9.140625" style="753" customWidth="1"/>
    <col min="1554" max="1554" width="3.85546875" style="753" customWidth="1"/>
    <col min="1555" max="1557" width="9.140625" style="753" customWidth="1"/>
    <col min="1558" max="1792" width="9.140625" style="753"/>
    <col min="1793" max="1793" width="7.28515625" style="753" customWidth="1"/>
    <col min="1794" max="1794" width="13.7109375" style="753" customWidth="1"/>
    <col min="1795" max="1795" width="8.28515625" style="753" customWidth="1"/>
    <col min="1796" max="1802" width="4.7109375" style="753" customWidth="1"/>
    <col min="1803" max="1805" width="4.28515625" style="753" customWidth="1"/>
    <col min="1806" max="1806" width="6.140625" style="753" customWidth="1"/>
    <col min="1807" max="1807" width="6" style="753" customWidth="1"/>
    <col min="1808" max="1808" width="12.28515625" style="753" customWidth="1"/>
    <col min="1809" max="1809" width="9.140625" style="753" customWidth="1"/>
    <col min="1810" max="1810" width="3.85546875" style="753" customWidth="1"/>
    <col min="1811" max="1813" width="9.140625" style="753" customWidth="1"/>
    <col min="1814" max="2048" width="9.140625" style="753"/>
    <col min="2049" max="2049" width="7.28515625" style="753" customWidth="1"/>
    <col min="2050" max="2050" width="13.7109375" style="753" customWidth="1"/>
    <col min="2051" max="2051" width="8.28515625" style="753" customWidth="1"/>
    <col min="2052" max="2058" width="4.7109375" style="753" customWidth="1"/>
    <col min="2059" max="2061" width="4.28515625" style="753" customWidth="1"/>
    <col min="2062" max="2062" width="6.140625" style="753" customWidth="1"/>
    <col min="2063" max="2063" width="6" style="753" customWidth="1"/>
    <col min="2064" max="2064" width="12.28515625" style="753" customWidth="1"/>
    <col min="2065" max="2065" width="9.140625" style="753" customWidth="1"/>
    <col min="2066" max="2066" width="3.85546875" style="753" customWidth="1"/>
    <col min="2067" max="2069" width="9.140625" style="753" customWidth="1"/>
    <col min="2070" max="2304" width="9.140625" style="753"/>
    <col min="2305" max="2305" width="7.28515625" style="753" customWidth="1"/>
    <col min="2306" max="2306" width="13.7109375" style="753" customWidth="1"/>
    <col min="2307" max="2307" width="8.28515625" style="753" customWidth="1"/>
    <col min="2308" max="2314" width="4.7109375" style="753" customWidth="1"/>
    <col min="2315" max="2317" width="4.28515625" style="753" customWidth="1"/>
    <col min="2318" max="2318" width="6.140625" style="753" customWidth="1"/>
    <col min="2319" max="2319" width="6" style="753" customWidth="1"/>
    <col min="2320" max="2320" width="12.28515625" style="753" customWidth="1"/>
    <col min="2321" max="2321" width="9.140625" style="753" customWidth="1"/>
    <col min="2322" max="2322" width="3.85546875" style="753" customWidth="1"/>
    <col min="2323" max="2325" width="9.140625" style="753" customWidth="1"/>
    <col min="2326" max="2560" width="9.140625" style="753"/>
    <col min="2561" max="2561" width="7.28515625" style="753" customWidth="1"/>
    <col min="2562" max="2562" width="13.7109375" style="753" customWidth="1"/>
    <col min="2563" max="2563" width="8.28515625" style="753" customWidth="1"/>
    <col min="2564" max="2570" width="4.7109375" style="753" customWidth="1"/>
    <col min="2571" max="2573" width="4.28515625" style="753" customWidth="1"/>
    <col min="2574" max="2574" width="6.140625" style="753" customWidth="1"/>
    <col min="2575" max="2575" width="6" style="753" customWidth="1"/>
    <col min="2576" max="2576" width="12.28515625" style="753" customWidth="1"/>
    <col min="2577" max="2577" width="9.140625" style="753" customWidth="1"/>
    <col min="2578" max="2578" width="3.85546875" style="753" customWidth="1"/>
    <col min="2579" max="2581" width="9.140625" style="753" customWidth="1"/>
    <col min="2582" max="2816" width="9.140625" style="753"/>
    <col min="2817" max="2817" width="7.28515625" style="753" customWidth="1"/>
    <col min="2818" max="2818" width="13.7109375" style="753" customWidth="1"/>
    <col min="2819" max="2819" width="8.28515625" style="753" customWidth="1"/>
    <col min="2820" max="2826" width="4.7109375" style="753" customWidth="1"/>
    <col min="2827" max="2829" width="4.28515625" style="753" customWidth="1"/>
    <col min="2830" max="2830" width="6.140625" style="753" customWidth="1"/>
    <col min="2831" max="2831" width="6" style="753" customWidth="1"/>
    <col min="2832" max="2832" width="12.28515625" style="753" customWidth="1"/>
    <col min="2833" max="2833" width="9.140625" style="753" customWidth="1"/>
    <col min="2834" max="2834" width="3.85546875" style="753" customWidth="1"/>
    <col min="2835" max="2837" width="9.140625" style="753" customWidth="1"/>
    <col min="2838" max="3072" width="9.140625" style="753"/>
    <col min="3073" max="3073" width="7.28515625" style="753" customWidth="1"/>
    <col min="3074" max="3074" width="13.7109375" style="753" customWidth="1"/>
    <col min="3075" max="3075" width="8.28515625" style="753" customWidth="1"/>
    <col min="3076" max="3082" width="4.7109375" style="753" customWidth="1"/>
    <col min="3083" max="3085" width="4.28515625" style="753" customWidth="1"/>
    <col min="3086" max="3086" width="6.140625" style="753" customWidth="1"/>
    <col min="3087" max="3087" width="6" style="753" customWidth="1"/>
    <col min="3088" max="3088" width="12.28515625" style="753" customWidth="1"/>
    <col min="3089" max="3089" width="9.140625" style="753" customWidth="1"/>
    <col min="3090" max="3090" width="3.85546875" style="753" customWidth="1"/>
    <col min="3091" max="3093" width="9.140625" style="753" customWidth="1"/>
    <col min="3094" max="3328" width="9.140625" style="753"/>
    <col min="3329" max="3329" width="7.28515625" style="753" customWidth="1"/>
    <col min="3330" max="3330" width="13.7109375" style="753" customWidth="1"/>
    <col min="3331" max="3331" width="8.28515625" style="753" customWidth="1"/>
    <col min="3332" max="3338" width="4.7109375" style="753" customWidth="1"/>
    <col min="3339" max="3341" width="4.28515625" style="753" customWidth="1"/>
    <col min="3342" max="3342" width="6.140625" style="753" customWidth="1"/>
    <col min="3343" max="3343" width="6" style="753" customWidth="1"/>
    <col min="3344" max="3344" width="12.28515625" style="753" customWidth="1"/>
    <col min="3345" max="3345" width="9.140625" style="753" customWidth="1"/>
    <col min="3346" max="3346" width="3.85546875" style="753" customWidth="1"/>
    <col min="3347" max="3349" width="9.140625" style="753" customWidth="1"/>
    <col min="3350" max="3584" width="9.140625" style="753"/>
    <col min="3585" max="3585" width="7.28515625" style="753" customWidth="1"/>
    <col min="3586" max="3586" width="13.7109375" style="753" customWidth="1"/>
    <col min="3587" max="3587" width="8.28515625" style="753" customWidth="1"/>
    <col min="3588" max="3594" width="4.7109375" style="753" customWidth="1"/>
    <col min="3595" max="3597" width="4.28515625" style="753" customWidth="1"/>
    <col min="3598" max="3598" width="6.140625" style="753" customWidth="1"/>
    <col min="3599" max="3599" width="6" style="753" customWidth="1"/>
    <col min="3600" max="3600" width="12.28515625" style="753" customWidth="1"/>
    <col min="3601" max="3601" width="9.140625" style="753" customWidth="1"/>
    <col min="3602" max="3602" width="3.85546875" style="753" customWidth="1"/>
    <col min="3603" max="3605" width="9.140625" style="753" customWidth="1"/>
    <col min="3606" max="3840" width="9.140625" style="753"/>
    <col min="3841" max="3841" width="7.28515625" style="753" customWidth="1"/>
    <col min="3842" max="3842" width="13.7109375" style="753" customWidth="1"/>
    <col min="3843" max="3843" width="8.28515625" style="753" customWidth="1"/>
    <col min="3844" max="3850" width="4.7109375" style="753" customWidth="1"/>
    <col min="3851" max="3853" width="4.28515625" style="753" customWidth="1"/>
    <col min="3854" max="3854" width="6.140625" style="753" customWidth="1"/>
    <col min="3855" max="3855" width="6" style="753" customWidth="1"/>
    <col min="3856" max="3856" width="12.28515625" style="753" customWidth="1"/>
    <col min="3857" max="3857" width="9.140625" style="753" customWidth="1"/>
    <col min="3858" max="3858" width="3.85546875" style="753" customWidth="1"/>
    <col min="3859" max="3861" width="9.140625" style="753" customWidth="1"/>
    <col min="3862" max="4096" width="9.140625" style="753"/>
    <col min="4097" max="4097" width="7.28515625" style="753" customWidth="1"/>
    <col min="4098" max="4098" width="13.7109375" style="753" customWidth="1"/>
    <col min="4099" max="4099" width="8.28515625" style="753" customWidth="1"/>
    <col min="4100" max="4106" width="4.7109375" style="753" customWidth="1"/>
    <col min="4107" max="4109" width="4.28515625" style="753" customWidth="1"/>
    <col min="4110" max="4110" width="6.140625" style="753" customWidth="1"/>
    <col min="4111" max="4111" width="6" style="753" customWidth="1"/>
    <col min="4112" max="4112" width="12.28515625" style="753" customWidth="1"/>
    <col min="4113" max="4113" width="9.140625" style="753" customWidth="1"/>
    <col min="4114" max="4114" width="3.85546875" style="753" customWidth="1"/>
    <col min="4115" max="4117" width="9.140625" style="753" customWidth="1"/>
    <col min="4118" max="4352" width="9.140625" style="753"/>
    <col min="4353" max="4353" width="7.28515625" style="753" customWidth="1"/>
    <col min="4354" max="4354" width="13.7109375" style="753" customWidth="1"/>
    <col min="4355" max="4355" width="8.28515625" style="753" customWidth="1"/>
    <col min="4356" max="4362" width="4.7109375" style="753" customWidth="1"/>
    <col min="4363" max="4365" width="4.28515625" style="753" customWidth="1"/>
    <col min="4366" max="4366" width="6.140625" style="753" customWidth="1"/>
    <col min="4367" max="4367" width="6" style="753" customWidth="1"/>
    <col min="4368" max="4368" width="12.28515625" style="753" customWidth="1"/>
    <col min="4369" max="4369" width="9.140625" style="753" customWidth="1"/>
    <col min="4370" max="4370" width="3.85546875" style="753" customWidth="1"/>
    <col min="4371" max="4373" width="9.140625" style="753" customWidth="1"/>
    <col min="4374" max="4608" width="9.140625" style="753"/>
    <col min="4609" max="4609" width="7.28515625" style="753" customWidth="1"/>
    <col min="4610" max="4610" width="13.7109375" style="753" customWidth="1"/>
    <col min="4611" max="4611" width="8.28515625" style="753" customWidth="1"/>
    <col min="4612" max="4618" width="4.7109375" style="753" customWidth="1"/>
    <col min="4619" max="4621" width="4.28515625" style="753" customWidth="1"/>
    <col min="4622" max="4622" width="6.140625" style="753" customWidth="1"/>
    <col min="4623" max="4623" width="6" style="753" customWidth="1"/>
    <col min="4624" max="4624" width="12.28515625" style="753" customWidth="1"/>
    <col min="4625" max="4625" width="9.140625" style="753" customWidth="1"/>
    <col min="4626" max="4626" width="3.85546875" style="753" customWidth="1"/>
    <col min="4627" max="4629" width="9.140625" style="753" customWidth="1"/>
    <col min="4630" max="4864" width="9.140625" style="753"/>
    <col min="4865" max="4865" width="7.28515625" style="753" customWidth="1"/>
    <col min="4866" max="4866" width="13.7109375" style="753" customWidth="1"/>
    <col min="4867" max="4867" width="8.28515625" style="753" customWidth="1"/>
    <col min="4868" max="4874" width="4.7109375" style="753" customWidth="1"/>
    <col min="4875" max="4877" width="4.28515625" style="753" customWidth="1"/>
    <col min="4878" max="4878" width="6.140625" style="753" customWidth="1"/>
    <col min="4879" max="4879" width="6" style="753" customWidth="1"/>
    <col min="4880" max="4880" width="12.28515625" style="753" customWidth="1"/>
    <col min="4881" max="4881" width="9.140625" style="753" customWidth="1"/>
    <col min="4882" max="4882" width="3.85546875" style="753" customWidth="1"/>
    <col min="4883" max="4885" width="9.140625" style="753" customWidth="1"/>
    <col min="4886" max="5120" width="9.140625" style="753"/>
    <col min="5121" max="5121" width="7.28515625" style="753" customWidth="1"/>
    <col min="5122" max="5122" width="13.7109375" style="753" customWidth="1"/>
    <col min="5123" max="5123" width="8.28515625" style="753" customWidth="1"/>
    <col min="5124" max="5130" width="4.7109375" style="753" customWidth="1"/>
    <col min="5131" max="5133" width="4.28515625" style="753" customWidth="1"/>
    <col min="5134" max="5134" width="6.140625" style="753" customWidth="1"/>
    <col min="5135" max="5135" width="6" style="753" customWidth="1"/>
    <col min="5136" max="5136" width="12.28515625" style="753" customWidth="1"/>
    <col min="5137" max="5137" width="9.140625" style="753" customWidth="1"/>
    <col min="5138" max="5138" width="3.85546875" style="753" customWidth="1"/>
    <col min="5139" max="5141" width="9.140625" style="753" customWidth="1"/>
    <col min="5142" max="5376" width="9.140625" style="753"/>
    <col min="5377" max="5377" width="7.28515625" style="753" customWidth="1"/>
    <col min="5378" max="5378" width="13.7109375" style="753" customWidth="1"/>
    <col min="5379" max="5379" width="8.28515625" style="753" customWidth="1"/>
    <col min="5380" max="5386" width="4.7109375" style="753" customWidth="1"/>
    <col min="5387" max="5389" width="4.28515625" style="753" customWidth="1"/>
    <col min="5390" max="5390" width="6.140625" style="753" customWidth="1"/>
    <col min="5391" max="5391" width="6" style="753" customWidth="1"/>
    <col min="5392" max="5392" width="12.28515625" style="753" customWidth="1"/>
    <col min="5393" max="5393" width="9.140625" style="753" customWidth="1"/>
    <col min="5394" max="5394" width="3.85546875" style="753" customWidth="1"/>
    <col min="5395" max="5397" width="9.140625" style="753" customWidth="1"/>
    <col min="5398" max="5632" width="9.140625" style="753"/>
    <col min="5633" max="5633" width="7.28515625" style="753" customWidth="1"/>
    <col min="5634" max="5634" width="13.7109375" style="753" customWidth="1"/>
    <col min="5635" max="5635" width="8.28515625" style="753" customWidth="1"/>
    <col min="5636" max="5642" width="4.7109375" style="753" customWidth="1"/>
    <col min="5643" max="5645" width="4.28515625" style="753" customWidth="1"/>
    <col min="5646" max="5646" width="6.140625" style="753" customWidth="1"/>
    <col min="5647" max="5647" width="6" style="753" customWidth="1"/>
    <col min="5648" max="5648" width="12.28515625" style="753" customWidth="1"/>
    <col min="5649" max="5649" width="9.140625" style="753" customWidth="1"/>
    <col min="5650" max="5650" width="3.85546875" style="753" customWidth="1"/>
    <col min="5651" max="5653" width="9.140625" style="753" customWidth="1"/>
    <col min="5654" max="5888" width="9.140625" style="753"/>
    <col min="5889" max="5889" width="7.28515625" style="753" customWidth="1"/>
    <col min="5890" max="5890" width="13.7109375" style="753" customWidth="1"/>
    <col min="5891" max="5891" width="8.28515625" style="753" customWidth="1"/>
    <col min="5892" max="5898" width="4.7109375" style="753" customWidth="1"/>
    <col min="5899" max="5901" width="4.28515625" style="753" customWidth="1"/>
    <col min="5902" max="5902" width="6.140625" style="753" customWidth="1"/>
    <col min="5903" max="5903" width="6" style="753" customWidth="1"/>
    <col min="5904" max="5904" width="12.28515625" style="753" customWidth="1"/>
    <col min="5905" max="5905" width="9.140625" style="753" customWidth="1"/>
    <col min="5906" max="5906" width="3.85546875" style="753" customWidth="1"/>
    <col min="5907" max="5909" width="9.140625" style="753" customWidth="1"/>
    <col min="5910" max="6144" width="9.140625" style="753"/>
    <col min="6145" max="6145" width="7.28515625" style="753" customWidth="1"/>
    <col min="6146" max="6146" width="13.7109375" style="753" customWidth="1"/>
    <col min="6147" max="6147" width="8.28515625" style="753" customWidth="1"/>
    <col min="6148" max="6154" width="4.7109375" style="753" customWidth="1"/>
    <col min="6155" max="6157" width="4.28515625" style="753" customWidth="1"/>
    <col min="6158" max="6158" width="6.140625" style="753" customWidth="1"/>
    <col min="6159" max="6159" width="6" style="753" customWidth="1"/>
    <col min="6160" max="6160" width="12.28515625" style="753" customWidth="1"/>
    <col min="6161" max="6161" width="9.140625" style="753" customWidth="1"/>
    <col min="6162" max="6162" width="3.85546875" style="753" customWidth="1"/>
    <col min="6163" max="6165" width="9.140625" style="753" customWidth="1"/>
    <col min="6166" max="6400" width="9.140625" style="753"/>
    <col min="6401" max="6401" width="7.28515625" style="753" customWidth="1"/>
    <col min="6402" max="6402" width="13.7109375" style="753" customWidth="1"/>
    <col min="6403" max="6403" width="8.28515625" style="753" customWidth="1"/>
    <col min="6404" max="6410" width="4.7109375" style="753" customWidth="1"/>
    <col min="6411" max="6413" width="4.28515625" style="753" customWidth="1"/>
    <col min="6414" max="6414" width="6.140625" style="753" customWidth="1"/>
    <col min="6415" max="6415" width="6" style="753" customWidth="1"/>
    <col min="6416" max="6416" width="12.28515625" style="753" customWidth="1"/>
    <col min="6417" max="6417" width="9.140625" style="753" customWidth="1"/>
    <col min="6418" max="6418" width="3.85546875" style="753" customWidth="1"/>
    <col min="6419" max="6421" width="9.140625" style="753" customWidth="1"/>
    <col min="6422" max="6656" width="9.140625" style="753"/>
    <col min="6657" max="6657" width="7.28515625" style="753" customWidth="1"/>
    <col min="6658" max="6658" width="13.7109375" style="753" customWidth="1"/>
    <col min="6659" max="6659" width="8.28515625" style="753" customWidth="1"/>
    <col min="6660" max="6666" width="4.7109375" style="753" customWidth="1"/>
    <col min="6667" max="6669" width="4.28515625" style="753" customWidth="1"/>
    <col min="6670" max="6670" width="6.140625" style="753" customWidth="1"/>
    <col min="6671" max="6671" width="6" style="753" customWidth="1"/>
    <col min="6672" max="6672" width="12.28515625" style="753" customWidth="1"/>
    <col min="6673" max="6673" width="9.140625" style="753" customWidth="1"/>
    <col min="6674" max="6674" width="3.85546875" style="753" customWidth="1"/>
    <col min="6675" max="6677" width="9.140625" style="753" customWidth="1"/>
    <col min="6678" max="6912" width="9.140625" style="753"/>
    <col min="6913" max="6913" width="7.28515625" style="753" customWidth="1"/>
    <col min="6914" max="6914" width="13.7109375" style="753" customWidth="1"/>
    <col min="6915" max="6915" width="8.28515625" style="753" customWidth="1"/>
    <col min="6916" max="6922" width="4.7109375" style="753" customWidth="1"/>
    <col min="6923" max="6925" width="4.28515625" style="753" customWidth="1"/>
    <col min="6926" max="6926" width="6.140625" style="753" customWidth="1"/>
    <col min="6927" max="6927" width="6" style="753" customWidth="1"/>
    <col min="6928" max="6928" width="12.28515625" style="753" customWidth="1"/>
    <col min="6929" max="6929" width="9.140625" style="753" customWidth="1"/>
    <col min="6930" max="6930" width="3.85546875" style="753" customWidth="1"/>
    <col min="6931" max="6933" width="9.140625" style="753" customWidth="1"/>
    <col min="6934" max="7168" width="9.140625" style="753"/>
    <col min="7169" max="7169" width="7.28515625" style="753" customWidth="1"/>
    <col min="7170" max="7170" width="13.7109375" style="753" customWidth="1"/>
    <col min="7171" max="7171" width="8.28515625" style="753" customWidth="1"/>
    <col min="7172" max="7178" width="4.7109375" style="753" customWidth="1"/>
    <col min="7179" max="7181" width="4.28515625" style="753" customWidth="1"/>
    <col min="7182" max="7182" width="6.140625" style="753" customWidth="1"/>
    <col min="7183" max="7183" width="6" style="753" customWidth="1"/>
    <col min="7184" max="7184" width="12.28515625" style="753" customWidth="1"/>
    <col min="7185" max="7185" width="9.140625" style="753" customWidth="1"/>
    <col min="7186" max="7186" width="3.85546875" style="753" customWidth="1"/>
    <col min="7187" max="7189" width="9.140625" style="753" customWidth="1"/>
    <col min="7190" max="7424" width="9.140625" style="753"/>
    <col min="7425" max="7425" width="7.28515625" style="753" customWidth="1"/>
    <col min="7426" max="7426" width="13.7109375" style="753" customWidth="1"/>
    <col min="7427" max="7427" width="8.28515625" style="753" customWidth="1"/>
    <col min="7428" max="7434" width="4.7109375" style="753" customWidth="1"/>
    <col min="7435" max="7437" width="4.28515625" style="753" customWidth="1"/>
    <col min="7438" max="7438" width="6.140625" style="753" customWidth="1"/>
    <col min="7439" max="7439" width="6" style="753" customWidth="1"/>
    <col min="7440" max="7440" width="12.28515625" style="753" customWidth="1"/>
    <col min="7441" max="7441" width="9.140625" style="753" customWidth="1"/>
    <col min="7442" max="7442" width="3.85546875" style="753" customWidth="1"/>
    <col min="7443" max="7445" width="9.140625" style="753" customWidth="1"/>
    <col min="7446" max="7680" width="9.140625" style="753"/>
    <col min="7681" max="7681" width="7.28515625" style="753" customWidth="1"/>
    <col min="7682" max="7682" width="13.7109375" style="753" customWidth="1"/>
    <col min="7683" max="7683" width="8.28515625" style="753" customWidth="1"/>
    <col min="7684" max="7690" width="4.7109375" style="753" customWidth="1"/>
    <col min="7691" max="7693" width="4.28515625" style="753" customWidth="1"/>
    <col min="7694" max="7694" width="6.140625" style="753" customWidth="1"/>
    <col min="7695" max="7695" width="6" style="753" customWidth="1"/>
    <col min="7696" max="7696" width="12.28515625" style="753" customWidth="1"/>
    <col min="7697" max="7697" width="9.140625" style="753" customWidth="1"/>
    <col min="7698" max="7698" width="3.85546875" style="753" customWidth="1"/>
    <col min="7699" max="7701" width="9.140625" style="753" customWidth="1"/>
    <col min="7702" max="7936" width="9.140625" style="753"/>
    <col min="7937" max="7937" width="7.28515625" style="753" customWidth="1"/>
    <col min="7938" max="7938" width="13.7109375" style="753" customWidth="1"/>
    <col min="7939" max="7939" width="8.28515625" style="753" customWidth="1"/>
    <col min="7940" max="7946" width="4.7109375" style="753" customWidth="1"/>
    <col min="7947" max="7949" width="4.28515625" style="753" customWidth="1"/>
    <col min="7950" max="7950" width="6.140625" style="753" customWidth="1"/>
    <col min="7951" max="7951" width="6" style="753" customWidth="1"/>
    <col min="7952" max="7952" width="12.28515625" style="753" customWidth="1"/>
    <col min="7953" max="7953" width="9.140625" style="753" customWidth="1"/>
    <col min="7954" max="7954" width="3.85546875" style="753" customWidth="1"/>
    <col min="7955" max="7957" width="9.140625" style="753" customWidth="1"/>
    <col min="7958" max="8192" width="9.140625" style="753"/>
    <col min="8193" max="8193" width="7.28515625" style="753" customWidth="1"/>
    <col min="8194" max="8194" width="13.7109375" style="753" customWidth="1"/>
    <col min="8195" max="8195" width="8.28515625" style="753" customWidth="1"/>
    <col min="8196" max="8202" width="4.7109375" style="753" customWidth="1"/>
    <col min="8203" max="8205" width="4.28515625" style="753" customWidth="1"/>
    <col min="8206" max="8206" width="6.140625" style="753" customWidth="1"/>
    <col min="8207" max="8207" width="6" style="753" customWidth="1"/>
    <col min="8208" max="8208" width="12.28515625" style="753" customWidth="1"/>
    <col min="8209" max="8209" width="9.140625" style="753" customWidth="1"/>
    <col min="8210" max="8210" width="3.85546875" style="753" customWidth="1"/>
    <col min="8211" max="8213" width="9.140625" style="753" customWidth="1"/>
    <col min="8214" max="8448" width="9.140625" style="753"/>
    <col min="8449" max="8449" width="7.28515625" style="753" customWidth="1"/>
    <col min="8450" max="8450" width="13.7109375" style="753" customWidth="1"/>
    <col min="8451" max="8451" width="8.28515625" style="753" customWidth="1"/>
    <col min="8452" max="8458" width="4.7109375" style="753" customWidth="1"/>
    <col min="8459" max="8461" width="4.28515625" style="753" customWidth="1"/>
    <col min="8462" max="8462" width="6.140625" style="753" customWidth="1"/>
    <col min="8463" max="8463" width="6" style="753" customWidth="1"/>
    <col min="8464" max="8464" width="12.28515625" style="753" customWidth="1"/>
    <col min="8465" max="8465" width="9.140625" style="753" customWidth="1"/>
    <col min="8466" max="8466" width="3.85546875" style="753" customWidth="1"/>
    <col min="8467" max="8469" width="9.140625" style="753" customWidth="1"/>
    <col min="8470" max="8704" width="9.140625" style="753"/>
    <col min="8705" max="8705" width="7.28515625" style="753" customWidth="1"/>
    <col min="8706" max="8706" width="13.7109375" style="753" customWidth="1"/>
    <col min="8707" max="8707" width="8.28515625" style="753" customWidth="1"/>
    <col min="8708" max="8714" width="4.7109375" style="753" customWidth="1"/>
    <col min="8715" max="8717" width="4.28515625" style="753" customWidth="1"/>
    <col min="8718" max="8718" width="6.140625" style="753" customWidth="1"/>
    <col min="8719" max="8719" width="6" style="753" customWidth="1"/>
    <col min="8720" max="8720" width="12.28515625" style="753" customWidth="1"/>
    <col min="8721" max="8721" width="9.140625" style="753" customWidth="1"/>
    <col min="8722" max="8722" width="3.85546875" style="753" customWidth="1"/>
    <col min="8723" max="8725" width="9.140625" style="753" customWidth="1"/>
    <col min="8726" max="8960" width="9.140625" style="753"/>
    <col min="8961" max="8961" width="7.28515625" style="753" customWidth="1"/>
    <col min="8962" max="8962" width="13.7109375" style="753" customWidth="1"/>
    <col min="8963" max="8963" width="8.28515625" style="753" customWidth="1"/>
    <col min="8964" max="8970" width="4.7109375" style="753" customWidth="1"/>
    <col min="8971" max="8973" width="4.28515625" style="753" customWidth="1"/>
    <col min="8974" max="8974" width="6.140625" style="753" customWidth="1"/>
    <col min="8975" max="8975" width="6" style="753" customWidth="1"/>
    <col min="8976" max="8976" width="12.28515625" style="753" customWidth="1"/>
    <col min="8977" max="8977" width="9.140625" style="753" customWidth="1"/>
    <col min="8978" max="8978" width="3.85546875" style="753" customWidth="1"/>
    <col min="8979" max="8981" width="9.140625" style="753" customWidth="1"/>
    <col min="8982" max="9216" width="9.140625" style="753"/>
    <col min="9217" max="9217" width="7.28515625" style="753" customWidth="1"/>
    <col min="9218" max="9218" width="13.7109375" style="753" customWidth="1"/>
    <col min="9219" max="9219" width="8.28515625" style="753" customWidth="1"/>
    <col min="9220" max="9226" width="4.7109375" style="753" customWidth="1"/>
    <col min="9227" max="9229" width="4.28515625" style="753" customWidth="1"/>
    <col min="9230" max="9230" width="6.140625" style="753" customWidth="1"/>
    <col min="9231" max="9231" width="6" style="753" customWidth="1"/>
    <col min="9232" max="9232" width="12.28515625" style="753" customWidth="1"/>
    <col min="9233" max="9233" width="9.140625" style="753" customWidth="1"/>
    <col min="9234" max="9234" width="3.85546875" style="753" customWidth="1"/>
    <col min="9235" max="9237" width="9.140625" style="753" customWidth="1"/>
    <col min="9238" max="9472" width="9.140625" style="753"/>
    <col min="9473" max="9473" width="7.28515625" style="753" customWidth="1"/>
    <col min="9474" max="9474" width="13.7109375" style="753" customWidth="1"/>
    <col min="9475" max="9475" width="8.28515625" style="753" customWidth="1"/>
    <col min="9476" max="9482" width="4.7109375" style="753" customWidth="1"/>
    <col min="9483" max="9485" width="4.28515625" style="753" customWidth="1"/>
    <col min="9486" max="9486" width="6.140625" style="753" customWidth="1"/>
    <col min="9487" max="9487" width="6" style="753" customWidth="1"/>
    <col min="9488" max="9488" width="12.28515625" style="753" customWidth="1"/>
    <col min="9489" max="9489" width="9.140625" style="753" customWidth="1"/>
    <col min="9490" max="9490" width="3.85546875" style="753" customWidth="1"/>
    <col min="9491" max="9493" width="9.140625" style="753" customWidth="1"/>
    <col min="9494" max="9728" width="9.140625" style="753"/>
    <col min="9729" max="9729" width="7.28515625" style="753" customWidth="1"/>
    <col min="9730" max="9730" width="13.7109375" style="753" customWidth="1"/>
    <col min="9731" max="9731" width="8.28515625" style="753" customWidth="1"/>
    <col min="9732" max="9738" width="4.7109375" style="753" customWidth="1"/>
    <col min="9739" max="9741" width="4.28515625" style="753" customWidth="1"/>
    <col min="9742" max="9742" width="6.140625" style="753" customWidth="1"/>
    <col min="9743" max="9743" width="6" style="753" customWidth="1"/>
    <col min="9744" max="9744" width="12.28515625" style="753" customWidth="1"/>
    <col min="9745" max="9745" width="9.140625" style="753" customWidth="1"/>
    <col min="9746" max="9746" width="3.85546875" style="753" customWidth="1"/>
    <col min="9747" max="9749" width="9.140625" style="753" customWidth="1"/>
    <col min="9750" max="9984" width="9.140625" style="753"/>
    <col min="9985" max="9985" width="7.28515625" style="753" customWidth="1"/>
    <col min="9986" max="9986" width="13.7109375" style="753" customWidth="1"/>
    <col min="9987" max="9987" width="8.28515625" style="753" customWidth="1"/>
    <col min="9988" max="9994" width="4.7109375" style="753" customWidth="1"/>
    <col min="9995" max="9997" width="4.28515625" style="753" customWidth="1"/>
    <col min="9998" max="9998" width="6.140625" style="753" customWidth="1"/>
    <col min="9999" max="9999" width="6" style="753" customWidth="1"/>
    <col min="10000" max="10000" width="12.28515625" style="753" customWidth="1"/>
    <col min="10001" max="10001" width="9.140625" style="753" customWidth="1"/>
    <col min="10002" max="10002" width="3.85546875" style="753" customWidth="1"/>
    <col min="10003" max="10005" width="9.140625" style="753" customWidth="1"/>
    <col min="10006" max="10240" width="9.140625" style="753"/>
    <col min="10241" max="10241" width="7.28515625" style="753" customWidth="1"/>
    <col min="10242" max="10242" width="13.7109375" style="753" customWidth="1"/>
    <col min="10243" max="10243" width="8.28515625" style="753" customWidth="1"/>
    <col min="10244" max="10250" width="4.7109375" style="753" customWidth="1"/>
    <col min="10251" max="10253" width="4.28515625" style="753" customWidth="1"/>
    <col min="10254" max="10254" width="6.140625" style="753" customWidth="1"/>
    <col min="10255" max="10255" width="6" style="753" customWidth="1"/>
    <col min="10256" max="10256" width="12.28515625" style="753" customWidth="1"/>
    <col min="10257" max="10257" width="9.140625" style="753" customWidth="1"/>
    <col min="10258" max="10258" width="3.85546875" style="753" customWidth="1"/>
    <col min="10259" max="10261" width="9.140625" style="753" customWidth="1"/>
    <col min="10262" max="10496" width="9.140625" style="753"/>
    <col min="10497" max="10497" width="7.28515625" style="753" customWidth="1"/>
    <col min="10498" max="10498" width="13.7109375" style="753" customWidth="1"/>
    <col min="10499" max="10499" width="8.28515625" style="753" customWidth="1"/>
    <col min="10500" max="10506" width="4.7109375" style="753" customWidth="1"/>
    <col min="10507" max="10509" width="4.28515625" style="753" customWidth="1"/>
    <col min="10510" max="10510" width="6.140625" style="753" customWidth="1"/>
    <col min="10511" max="10511" width="6" style="753" customWidth="1"/>
    <col min="10512" max="10512" width="12.28515625" style="753" customWidth="1"/>
    <col min="10513" max="10513" width="9.140625" style="753" customWidth="1"/>
    <col min="10514" max="10514" width="3.85546875" style="753" customWidth="1"/>
    <col min="10515" max="10517" width="9.140625" style="753" customWidth="1"/>
    <col min="10518" max="10752" width="9.140625" style="753"/>
    <col min="10753" max="10753" width="7.28515625" style="753" customWidth="1"/>
    <col min="10754" max="10754" width="13.7109375" style="753" customWidth="1"/>
    <col min="10755" max="10755" width="8.28515625" style="753" customWidth="1"/>
    <col min="10756" max="10762" width="4.7109375" style="753" customWidth="1"/>
    <col min="10763" max="10765" width="4.28515625" style="753" customWidth="1"/>
    <col min="10766" max="10766" width="6.140625" style="753" customWidth="1"/>
    <col min="10767" max="10767" width="6" style="753" customWidth="1"/>
    <col min="10768" max="10768" width="12.28515625" style="753" customWidth="1"/>
    <col min="10769" max="10769" width="9.140625" style="753" customWidth="1"/>
    <col min="10770" max="10770" width="3.85546875" style="753" customWidth="1"/>
    <col min="10771" max="10773" width="9.140625" style="753" customWidth="1"/>
    <col min="10774" max="11008" width="9.140625" style="753"/>
    <col min="11009" max="11009" width="7.28515625" style="753" customWidth="1"/>
    <col min="11010" max="11010" width="13.7109375" style="753" customWidth="1"/>
    <col min="11011" max="11011" width="8.28515625" style="753" customWidth="1"/>
    <col min="11012" max="11018" width="4.7109375" style="753" customWidth="1"/>
    <col min="11019" max="11021" width="4.28515625" style="753" customWidth="1"/>
    <col min="11022" max="11022" width="6.140625" style="753" customWidth="1"/>
    <col min="11023" max="11023" width="6" style="753" customWidth="1"/>
    <col min="11024" max="11024" width="12.28515625" style="753" customWidth="1"/>
    <col min="11025" max="11025" width="9.140625" style="753" customWidth="1"/>
    <col min="11026" max="11026" width="3.85546875" style="753" customWidth="1"/>
    <col min="11027" max="11029" width="9.140625" style="753" customWidth="1"/>
    <col min="11030" max="11264" width="9.140625" style="753"/>
    <col min="11265" max="11265" width="7.28515625" style="753" customWidth="1"/>
    <col min="11266" max="11266" width="13.7109375" style="753" customWidth="1"/>
    <col min="11267" max="11267" width="8.28515625" style="753" customWidth="1"/>
    <col min="11268" max="11274" width="4.7109375" style="753" customWidth="1"/>
    <col min="11275" max="11277" width="4.28515625" style="753" customWidth="1"/>
    <col min="11278" max="11278" width="6.140625" style="753" customWidth="1"/>
    <col min="11279" max="11279" width="6" style="753" customWidth="1"/>
    <col min="11280" max="11280" width="12.28515625" style="753" customWidth="1"/>
    <col min="11281" max="11281" width="9.140625" style="753" customWidth="1"/>
    <col min="11282" max="11282" width="3.85546875" style="753" customWidth="1"/>
    <col min="11283" max="11285" width="9.140625" style="753" customWidth="1"/>
    <col min="11286" max="11520" width="9.140625" style="753"/>
    <col min="11521" max="11521" width="7.28515625" style="753" customWidth="1"/>
    <col min="11522" max="11522" width="13.7109375" style="753" customWidth="1"/>
    <col min="11523" max="11523" width="8.28515625" style="753" customWidth="1"/>
    <col min="11524" max="11530" width="4.7109375" style="753" customWidth="1"/>
    <col min="11531" max="11533" width="4.28515625" style="753" customWidth="1"/>
    <col min="11534" max="11534" width="6.140625" style="753" customWidth="1"/>
    <col min="11535" max="11535" width="6" style="753" customWidth="1"/>
    <col min="11536" max="11536" width="12.28515625" style="753" customWidth="1"/>
    <col min="11537" max="11537" width="9.140625" style="753" customWidth="1"/>
    <col min="11538" max="11538" width="3.85546875" style="753" customWidth="1"/>
    <col min="11539" max="11541" width="9.140625" style="753" customWidth="1"/>
    <col min="11542" max="11776" width="9.140625" style="753"/>
    <col min="11777" max="11777" width="7.28515625" style="753" customWidth="1"/>
    <col min="11778" max="11778" width="13.7109375" style="753" customWidth="1"/>
    <col min="11779" max="11779" width="8.28515625" style="753" customWidth="1"/>
    <col min="11780" max="11786" width="4.7109375" style="753" customWidth="1"/>
    <col min="11787" max="11789" width="4.28515625" style="753" customWidth="1"/>
    <col min="11790" max="11790" width="6.140625" style="753" customWidth="1"/>
    <col min="11791" max="11791" width="6" style="753" customWidth="1"/>
    <col min="11792" max="11792" width="12.28515625" style="753" customWidth="1"/>
    <col min="11793" max="11793" width="9.140625" style="753" customWidth="1"/>
    <col min="11794" max="11794" width="3.85546875" style="753" customWidth="1"/>
    <col min="11795" max="11797" width="9.140625" style="753" customWidth="1"/>
    <col min="11798" max="12032" width="9.140625" style="753"/>
    <col min="12033" max="12033" width="7.28515625" style="753" customWidth="1"/>
    <col min="12034" max="12034" width="13.7109375" style="753" customWidth="1"/>
    <col min="12035" max="12035" width="8.28515625" style="753" customWidth="1"/>
    <col min="12036" max="12042" width="4.7109375" style="753" customWidth="1"/>
    <col min="12043" max="12045" width="4.28515625" style="753" customWidth="1"/>
    <col min="12046" max="12046" width="6.140625" style="753" customWidth="1"/>
    <col min="12047" max="12047" width="6" style="753" customWidth="1"/>
    <col min="12048" max="12048" width="12.28515625" style="753" customWidth="1"/>
    <col min="12049" max="12049" width="9.140625" style="753" customWidth="1"/>
    <col min="12050" max="12050" width="3.85546875" style="753" customWidth="1"/>
    <col min="12051" max="12053" width="9.140625" style="753" customWidth="1"/>
    <col min="12054" max="12288" width="9.140625" style="753"/>
    <col min="12289" max="12289" width="7.28515625" style="753" customWidth="1"/>
    <col min="12290" max="12290" width="13.7109375" style="753" customWidth="1"/>
    <col min="12291" max="12291" width="8.28515625" style="753" customWidth="1"/>
    <col min="12292" max="12298" width="4.7109375" style="753" customWidth="1"/>
    <col min="12299" max="12301" width="4.28515625" style="753" customWidth="1"/>
    <col min="12302" max="12302" width="6.140625" style="753" customWidth="1"/>
    <col min="12303" max="12303" width="6" style="753" customWidth="1"/>
    <col min="12304" max="12304" width="12.28515625" style="753" customWidth="1"/>
    <col min="12305" max="12305" width="9.140625" style="753" customWidth="1"/>
    <col min="12306" max="12306" width="3.85546875" style="753" customWidth="1"/>
    <col min="12307" max="12309" width="9.140625" style="753" customWidth="1"/>
    <col min="12310" max="12544" width="9.140625" style="753"/>
    <col min="12545" max="12545" width="7.28515625" style="753" customWidth="1"/>
    <col min="12546" max="12546" width="13.7109375" style="753" customWidth="1"/>
    <col min="12547" max="12547" width="8.28515625" style="753" customWidth="1"/>
    <col min="12548" max="12554" width="4.7109375" style="753" customWidth="1"/>
    <col min="12555" max="12557" width="4.28515625" style="753" customWidth="1"/>
    <col min="12558" max="12558" width="6.140625" style="753" customWidth="1"/>
    <col min="12559" max="12559" width="6" style="753" customWidth="1"/>
    <col min="12560" max="12560" width="12.28515625" style="753" customWidth="1"/>
    <col min="12561" max="12561" width="9.140625" style="753" customWidth="1"/>
    <col min="12562" max="12562" width="3.85546875" style="753" customWidth="1"/>
    <col min="12563" max="12565" width="9.140625" style="753" customWidth="1"/>
    <col min="12566" max="12800" width="9.140625" style="753"/>
    <col min="12801" max="12801" width="7.28515625" style="753" customWidth="1"/>
    <col min="12802" max="12802" width="13.7109375" style="753" customWidth="1"/>
    <col min="12803" max="12803" width="8.28515625" style="753" customWidth="1"/>
    <col min="12804" max="12810" width="4.7109375" style="753" customWidth="1"/>
    <col min="12811" max="12813" width="4.28515625" style="753" customWidth="1"/>
    <col min="12814" max="12814" width="6.140625" style="753" customWidth="1"/>
    <col min="12815" max="12815" width="6" style="753" customWidth="1"/>
    <col min="12816" max="12816" width="12.28515625" style="753" customWidth="1"/>
    <col min="12817" max="12817" width="9.140625" style="753" customWidth="1"/>
    <col min="12818" max="12818" width="3.85546875" style="753" customWidth="1"/>
    <col min="12819" max="12821" width="9.140625" style="753" customWidth="1"/>
    <col min="12822" max="13056" width="9.140625" style="753"/>
    <col min="13057" max="13057" width="7.28515625" style="753" customWidth="1"/>
    <col min="13058" max="13058" width="13.7109375" style="753" customWidth="1"/>
    <col min="13059" max="13059" width="8.28515625" style="753" customWidth="1"/>
    <col min="13060" max="13066" width="4.7109375" style="753" customWidth="1"/>
    <col min="13067" max="13069" width="4.28515625" style="753" customWidth="1"/>
    <col min="13070" max="13070" width="6.140625" style="753" customWidth="1"/>
    <col min="13071" max="13071" width="6" style="753" customWidth="1"/>
    <col min="13072" max="13072" width="12.28515625" style="753" customWidth="1"/>
    <col min="13073" max="13073" width="9.140625" style="753" customWidth="1"/>
    <col min="13074" max="13074" width="3.85546875" style="753" customWidth="1"/>
    <col min="13075" max="13077" width="9.140625" style="753" customWidth="1"/>
    <col min="13078" max="13312" width="9.140625" style="753"/>
    <col min="13313" max="13313" width="7.28515625" style="753" customWidth="1"/>
    <col min="13314" max="13314" width="13.7109375" style="753" customWidth="1"/>
    <col min="13315" max="13315" width="8.28515625" style="753" customWidth="1"/>
    <col min="13316" max="13322" width="4.7109375" style="753" customWidth="1"/>
    <col min="13323" max="13325" width="4.28515625" style="753" customWidth="1"/>
    <col min="13326" max="13326" width="6.140625" style="753" customWidth="1"/>
    <col min="13327" max="13327" width="6" style="753" customWidth="1"/>
    <col min="13328" max="13328" width="12.28515625" style="753" customWidth="1"/>
    <col min="13329" max="13329" width="9.140625" style="753" customWidth="1"/>
    <col min="13330" max="13330" width="3.85546875" style="753" customWidth="1"/>
    <col min="13331" max="13333" width="9.140625" style="753" customWidth="1"/>
    <col min="13334" max="13568" width="9.140625" style="753"/>
    <col min="13569" max="13569" width="7.28515625" style="753" customWidth="1"/>
    <col min="13570" max="13570" width="13.7109375" style="753" customWidth="1"/>
    <col min="13571" max="13571" width="8.28515625" style="753" customWidth="1"/>
    <col min="13572" max="13578" width="4.7109375" style="753" customWidth="1"/>
    <col min="13579" max="13581" width="4.28515625" style="753" customWidth="1"/>
    <col min="13582" max="13582" width="6.140625" style="753" customWidth="1"/>
    <col min="13583" max="13583" width="6" style="753" customWidth="1"/>
    <col min="13584" max="13584" width="12.28515625" style="753" customWidth="1"/>
    <col min="13585" max="13585" width="9.140625" style="753" customWidth="1"/>
    <col min="13586" max="13586" width="3.85546875" style="753" customWidth="1"/>
    <col min="13587" max="13589" width="9.140625" style="753" customWidth="1"/>
    <col min="13590" max="13824" width="9.140625" style="753"/>
    <col min="13825" max="13825" width="7.28515625" style="753" customWidth="1"/>
    <col min="13826" max="13826" width="13.7109375" style="753" customWidth="1"/>
    <col min="13827" max="13827" width="8.28515625" style="753" customWidth="1"/>
    <col min="13828" max="13834" width="4.7109375" style="753" customWidth="1"/>
    <col min="13835" max="13837" width="4.28515625" style="753" customWidth="1"/>
    <col min="13838" max="13838" width="6.140625" style="753" customWidth="1"/>
    <col min="13839" max="13839" width="6" style="753" customWidth="1"/>
    <col min="13840" max="13840" width="12.28515625" style="753" customWidth="1"/>
    <col min="13841" max="13841" width="9.140625" style="753" customWidth="1"/>
    <col min="13842" max="13842" width="3.85546875" style="753" customWidth="1"/>
    <col min="13843" max="13845" width="9.140625" style="753" customWidth="1"/>
    <col min="13846" max="14080" width="9.140625" style="753"/>
    <col min="14081" max="14081" width="7.28515625" style="753" customWidth="1"/>
    <col min="14082" max="14082" width="13.7109375" style="753" customWidth="1"/>
    <col min="14083" max="14083" width="8.28515625" style="753" customWidth="1"/>
    <col min="14084" max="14090" width="4.7109375" style="753" customWidth="1"/>
    <col min="14091" max="14093" width="4.28515625" style="753" customWidth="1"/>
    <col min="14094" max="14094" width="6.140625" style="753" customWidth="1"/>
    <col min="14095" max="14095" width="6" style="753" customWidth="1"/>
    <col min="14096" max="14096" width="12.28515625" style="753" customWidth="1"/>
    <col min="14097" max="14097" width="9.140625" style="753" customWidth="1"/>
    <col min="14098" max="14098" width="3.85546875" style="753" customWidth="1"/>
    <col min="14099" max="14101" width="9.140625" style="753" customWidth="1"/>
    <col min="14102" max="14336" width="9.140625" style="753"/>
    <col min="14337" max="14337" width="7.28515625" style="753" customWidth="1"/>
    <col min="14338" max="14338" width="13.7109375" style="753" customWidth="1"/>
    <col min="14339" max="14339" width="8.28515625" style="753" customWidth="1"/>
    <col min="14340" max="14346" width="4.7109375" style="753" customWidth="1"/>
    <col min="14347" max="14349" width="4.28515625" style="753" customWidth="1"/>
    <col min="14350" max="14350" width="6.140625" style="753" customWidth="1"/>
    <col min="14351" max="14351" width="6" style="753" customWidth="1"/>
    <col min="14352" max="14352" width="12.28515625" style="753" customWidth="1"/>
    <col min="14353" max="14353" width="9.140625" style="753" customWidth="1"/>
    <col min="14354" max="14354" width="3.85546875" style="753" customWidth="1"/>
    <col min="14355" max="14357" width="9.140625" style="753" customWidth="1"/>
    <col min="14358" max="14592" width="9.140625" style="753"/>
    <col min="14593" max="14593" width="7.28515625" style="753" customWidth="1"/>
    <col min="14594" max="14594" width="13.7109375" style="753" customWidth="1"/>
    <col min="14595" max="14595" width="8.28515625" style="753" customWidth="1"/>
    <col min="14596" max="14602" width="4.7109375" style="753" customWidth="1"/>
    <col min="14603" max="14605" width="4.28515625" style="753" customWidth="1"/>
    <col min="14606" max="14606" width="6.140625" style="753" customWidth="1"/>
    <col min="14607" max="14607" width="6" style="753" customWidth="1"/>
    <col min="14608" max="14608" width="12.28515625" style="753" customWidth="1"/>
    <col min="14609" max="14609" width="9.140625" style="753" customWidth="1"/>
    <col min="14610" max="14610" width="3.85546875" style="753" customWidth="1"/>
    <col min="14611" max="14613" width="9.140625" style="753" customWidth="1"/>
    <col min="14614" max="14848" width="9.140625" style="753"/>
    <col min="14849" max="14849" width="7.28515625" style="753" customWidth="1"/>
    <col min="14850" max="14850" width="13.7109375" style="753" customWidth="1"/>
    <col min="14851" max="14851" width="8.28515625" style="753" customWidth="1"/>
    <col min="14852" max="14858" width="4.7109375" style="753" customWidth="1"/>
    <col min="14859" max="14861" width="4.28515625" style="753" customWidth="1"/>
    <col min="14862" max="14862" width="6.140625" style="753" customWidth="1"/>
    <col min="14863" max="14863" width="6" style="753" customWidth="1"/>
    <col min="14864" max="14864" width="12.28515625" style="753" customWidth="1"/>
    <col min="14865" max="14865" width="9.140625" style="753" customWidth="1"/>
    <col min="14866" max="14866" width="3.85546875" style="753" customWidth="1"/>
    <col min="14867" max="14869" width="9.140625" style="753" customWidth="1"/>
    <col min="14870" max="15104" width="9.140625" style="753"/>
    <col min="15105" max="15105" width="7.28515625" style="753" customWidth="1"/>
    <col min="15106" max="15106" width="13.7109375" style="753" customWidth="1"/>
    <col min="15107" max="15107" width="8.28515625" style="753" customWidth="1"/>
    <col min="15108" max="15114" width="4.7109375" style="753" customWidth="1"/>
    <col min="15115" max="15117" width="4.28515625" style="753" customWidth="1"/>
    <col min="15118" max="15118" width="6.140625" style="753" customWidth="1"/>
    <col min="15119" max="15119" width="6" style="753" customWidth="1"/>
    <col min="15120" max="15120" width="12.28515625" style="753" customWidth="1"/>
    <col min="15121" max="15121" width="9.140625" style="753" customWidth="1"/>
    <col min="15122" max="15122" width="3.85546875" style="753" customWidth="1"/>
    <col min="15123" max="15125" width="9.140625" style="753" customWidth="1"/>
    <col min="15126" max="15360" width="9.140625" style="753"/>
    <col min="15361" max="15361" width="7.28515625" style="753" customWidth="1"/>
    <col min="15362" max="15362" width="13.7109375" style="753" customWidth="1"/>
    <col min="15363" max="15363" width="8.28515625" style="753" customWidth="1"/>
    <col min="15364" max="15370" width="4.7109375" style="753" customWidth="1"/>
    <col min="15371" max="15373" width="4.28515625" style="753" customWidth="1"/>
    <col min="15374" max="15374" width="6.140625" style="753" customWidth="1"/>
    <col min="15375" max="15375" width="6" style="753" customWidth="1"/>
    <col min="15376" max="15376" width="12.28515625" style="753" customWidth="1"/>
    <col min="15377" max="15377" width="9.140625" style="753" customWidth="1"/>
    <col min="15378" max="15378" width="3.85546875" style="753" customWidth="1"/>
    <col min="15379" max="15381" width="9.140625" style="753" customWidth="1"/>
    <col min="15382" max="15616" width="9.140625" style="753"/>
    <col min="15617" max="15617" width="7.28515625" style="753" customWidth="1"/>
    <col min="15618" max="15618" width="13.7109375" style="753" customWidth="1"/>
    <col min="15619" max="15619" width="8.28515625" style="753" customWidth="1"/>
    <col min="15620" max="15626" width="4.7109375" style="753" customWidth="1"/>
    <col min="15627" max="15629" width="4.28515625" style="753" customWidth="1"/>
    <col min="15630" max="15630" width="6.140625" style="753" customWidth="1"/>
    <col min="15631" max="15631" width="6" style="753" customWidth="1"/>
    <col min="15632" max="15632" width="12.28515625" style="753" customWidth="1"/>
    <col min="15633" max="15633" width="9.140625" style="753" customWidth="1"/>
    <col min="15634" max="15634" width="3.85546875" style="753" customWidth="1"/>
    <col min="15635" max="15637" width="9.140625" style="753" customWidth="1"/>
    <col min="15638" max="15872" width="9.140625" style="753"/>
    <col min="15873" max="15873" width="7.28515625" style="753" customWidth="1"/>
    <col min="15874" max="15874" width="13.7109375" style="753" customWidth="1"/>
    <col min="15875" max="15875" width="8.28515625" style="753" customWidth="1"/>
    <col min="15876" max="15882" width="4.7109375" style="753" customWidth="1"/>
    <col min="15883" max="15885" width="4.28515625" style="753" customWidth="1"/>
    <col min="15886" max="15886" width="6.140625" style="753" customWidth="1"/>
    <col min="15887" max="15887" width="6" style="753" customWidth="1"/>
    <col min="15888" max="15888" width="12.28515625" style="753" customWidth="1"/>
    <col min="15889" max="15889" width="9.140625" style="753" customWidth="1"/>
    <col min="15890" max="15890" width="3.85546875" style="753" customWidth="1"/>
    <col min="15891" max="15893" width="9.140625" style="753" customWidth="1"/>
    <col min="15894" max="16128" width="9.140625" style="753"/>
    <col min="16129" max="16129" width="7.28515625" style="753" customWidth="1"/>
    <col min="16130" max="16130" width="13.7109375" style="753" customWidth="1"/>
    <col min="16131" max="16131" width="8.28515625" style="753" customWidth="1"/>
    <col min="16132" max="16138" width="4.7109375" style="753" customWidth="1"/>
    <col min="16139" max="16141" width="4.28515625" style="753" customWidth="1"/>
    <col min="16142" max="16142" width="6.140625" style="753" customWidth="1"/>
    <col min="16143" max="16143" width="6" style="753" customWidth="1"/>
    <col min="16144" max="16144" width="12.28515625" style="753" customWidth="1"/>
    <col min="16145" max="16145" width="9.140625" style="753" customWidth="1"/>
    <col min="16146" max="16146" width="3.85546875" style="753" customWidth="1"/>
    <col min="16147" max="16149" width="9.140625" style="753" customWidth="1"/>
    <col min="16150" max="16384" width="9.140625" style="753"/>
  </cols>
  <sheetData>
    <row r="1" spans="1:20" ht="20.25" x14ac:dyDescent="0.3">
      <c r="A1" s="752" t="s">
        <v>1</v>
      </c>
      <c r="C1" s="754" t="s">
        <v>645</v>
      </c>
      <c r="O1" s="754" t="str">
        <f ca="1">MID(CELL("filename",A1),FIND("]",CELL("filename",A1))+1,255)</f>
        <v>Ob3</v>
      </c>
    </row>
    <row r="2" spans="1:20" ht="13.5" thickBot="1" x14ac:dyDescent="0.25">
      <c r="Q2" s="753" t="s">
        <v>446</v>
      </c>
    </row>
    <row r="3" spans="1:20" ht="18.75" thickBot="1" x14ac:dyDescent="0.3">
      <c r="B3" s="755" t="s">
        <v>646</v>
      </c>
      <c r="C3" s="1010" t="str">
        <f>Fältkort!H89</f>
        <v>Vårkorn</v>
      </c>
      <c r="D3" s="1011"/>
      <c r="E3" s="1012"/>
      <c r="L3" s="756" t="s">
        <v>647</v>
      </c>
      <c r="Q3" s="753" t="s">
        <v>249</v>
      </c>
    </row>
    <row r="4" spans="1:20" x14ac:dyDescent="0.2">
      <c r="Q4" s="753" t="s">
        <v>246</v>
      </c>
    </row>
    <row r="5" spans="1:20" x14ac:dyDescent="0.2">
      <c r="A5" s="1013" t="s">
        <v>648</v>
      </c>
      <c r="B5" s="1013"/>
      <c r="C5" s="1014" t="s">
        <v>155</v>
      </c>
      <c r="D5" s="1015"/>
      <c r="E5" s="1016"/>
      <c r="F5" s="1017" t="s">
        <v>649</v>
      </c>
      <c r="G5" s="1018"/>
      <c r="H5" s="1019"/>
      <c r="I5" s="1020" t="s">
        <v>46</v>
      </c>
      <c r="J5" s="1020"/>
      <c r="K5" s="1020"/>
      <c r="L5" s="1017"/>
      <c r="M5" s="1020" t="s">
        <v>650</v>
      </c>
      <c r="N5" s="1020"/>
      <c r="Q5" s="753" t="s">
        <v>248</v>
      </c>
    </row>
    <row r="6" spans="1:20" ht="25.5" customHeight="1" x14ac:dyDescent="0.25">
      <c r="A6" s="1021" t="str">
        <f>Fältkort!H91</f>
        <v>HUG066</v>
      </c>
      <c r="B6" s="1021"/>
      <c r="C6" s="1022" t="str">
        <f>Fältkort!H94</f>
        <v>M-658-2014</v>
      </c>
      <c r="D6" s="1023"/>
      <c r="E6" s="1024"/>
      <c r="F6" s="1025"/>
      <c r="G6" s="1026"/>
      <c r="H6" s="1027"/>
      <c r="I6" s="1025"/>
      <c r="J6" s="1026"/>
      <c r="K6" s="1026"/>
      <c r="L6" s="1026"/>
      <c r="M6" s="1028"/>
      <c r="N6" s="1028"/>
      <c r="Q6" s="753" t="s">
        <v>250</v>
      </c>
    </row>
    <row r="7" spans="1:20" ht="25.5" customHeight="1" x14ac:dyDescent="0.2">
      <c r="D7" s="1009" t="s">
        <v>1381</v>
      </c>
      <c r="E7" s="1009"/>
      <c r="F7" s="1009"/>
      <c r="G7" s="1009"/>
      <c r="H7" s="1009"/>
      <c r="I7" s="1009"/>
      <c r="J7" s="1009"/>
      <c r="K7" s="1009"/>
      <c r="L7" s="1009"/>
      <c r="M7" s="1009"/>
      <c r="N7" s="1009"/>
      <c r="Q7" s="753" t="s">
        <v>247</v>
      </c>
    </row>
    <row r="8" spans="1:20" x14ac:dyDescent="0.2">
      <c r="B8" s="757" t="s">
        <v>651</v>
      </c>
      <c r="C8" s="758" t="s">
        <v>652</v>
      </c>
      <c r="D8" s="1029" t="s">
        <v>653</v>
      </c>
      <c r="E8" s="1030"/>
      <c r="F8" s="1030"/>
      <c r="G8" s="1030"/>
      <c r="H8" s="1030"/>
      <c r="I8" s="1030"/>
      <c r="J8" s="1030"/>
      <c r="K8" s="1030"/>
      <c r="L8" s="1030"/>
      <c r="M8" s="1030"/>
      <c r="O8" s="753" t="s">
        <v>654</v>
      </c>
      <c r="Q8" s="753" t="s">
        <v>251</v>
      </c>
    </row>
    <row r="9" spans="1:20" ht="13.5" thickBot="1" x14ac:dyDescent="0.25">
      <c r="A9" s="759"/>
      <c r="B9" s="759"/>
      <c r="C9" s="760" t="s">
        <v>655</v>
      </c>
      <c r="D9" s="761">
        <v>1</v>
      </c>
      <c r="E9" s="761">
        <v>2</v>
      </c>
      <c r="F9" s="761">
        <v>3</v>
      </c>
      <c r="G9" s="761">
        <v>4</v>
      </c>
      <c r="H9" s="761">
        <v>5</v>
      </c>
      <c r="I9" s="761">
        <v>6</v>
      </c>
      <c r="J9" s="761">
        <v>7</v>
      </c>
      <c r="K9" s="761">
        <v>8</v>
      </c>
      <c r="L9" s="761">
        <v>9</v>
      </c>
      <c r="M9" s="761">
        <v>10</v>
      </c>
      <c r="N9" s="762" t="s">
        <v>656</v>
      </c>
      <c r="O9" s="761" t="s">
        <v>657</v>
      </c>
    </row>
    <row r="10" spans="1:20" x14ac:dyDescent="0.2">
      <c r="A10" s="763" t="s">
        <v>658</v>
      </c>
      <c r="B10" s="764" t="str">
        <f>IF(OR($C$3="Höstvete",$C$3="Vårvete",$C$3="Rågvete"),T10,IF($C$3="Råg",T15,IF(OR($C$3="Vårkorn",$C$3="Höstkorn"),T20,T25)))</f>
        <v>Mjöldagg</v>
      </c>
      <c r="C10" s="765">
        <v>1</v>
      </c>
      <c r="D10" s="766"/>
      <c r="E10" s="766"/>
      <c r="F10" s="766"/>
      <c r="G10" s="766"/>
      <c r="H10" s="766"/>
      <c r="I10" s="766"/>
      <c r="J10" s="766"/>
      <c r="K10" s="766"/>
      <c r="L10" s="766"/>
      <c r="M10" s="766"/>
      <c r="N10" s="767">
        <f>SUM(D10:M10)/(10-O$23)</f>
        <v>0</v>
      </c>
      <c r="O10" s="768"/>
      <c r="Q10" s="753" t="s">
        <v>659</v>
      </c>
      <c r="R10" s="753">
        <v>1</v>
      </c>
      <c r="S10" s="769" t="s">
        <v>660</v>
      </c>
      <c r="T10" s="764" t="s">
        <v>661</v>
      </c>
    </row>
    <row r="11" spans="1:20" x14ac:dyDescent="0.2">
      <c r="A11" s="770" t="s">
        <v>662</v>
      </c>
      <c r="B11" s="769" t="str">
        <f>IF(OR($C$3="Höstvete",$C$3="Vårvete",$C$3="Rågvete"),S10,IF($C$3="Råg",S15,IF(OR($C$3="Vårkorn",$C$3="Höstkorn"),S20,S25)))</f>
        <v>ERYSGR</v>
      </c>
      <c r="C11" s="771">
        <v>2</v>
      </c>
      <c r="D11" s="772"/>
      <c r="E11" s="772"/>
      <c r="F11" s="772"/>
      <c r="G11" s="772"/>
      <c r="H11" s="772"/>
      <c r="I11" s="772"/>
      <c r="J11" s="772"/>
      <c r="K11" s="772"/>
      <c r="L11" s="772"/>
      <c r="M11" s="772"/>
      <c r="N11" s="773">
        <f>SUM(D11:M11)/(10-O$24)</f>
        <v>0</v>
      </c>
      <c r="O11" s="768"/>
      <c r="Q11" s="753" t="s">
        <v>659</v>
      </c>
      <c r="R11" s="753">
        <v>2</v>
      </c>
      <c r="S11" s="769" t="s">
        <v>663</v>
      </c>
      <c r="T11" s="764" t="s">
        <v>664</v>
      </c>
    </row>
    <row r="12" spans="1:20" ht="12.75" customHeight="1" x14ac:dyDescent="0.2">
      <c r="A12" s="1031">
        <f>Led!Q95</f>
        <v>4</v>
      </c>
      <c r="B12" s="769"/>
      <c r="C12" s="771">
        <v>3</v>
      </c>
      <c r="D12" s="772"/>
      <c r="E12" s="772"/>
      <c r="F12" s="772"/>
      <c r="G12" s="772"/>
      <c r="H12" s="772"/>
      <c r="I12" s="772"/>
      <c r="J12" s="772"/>
      <c r="K12" s="772"/>
      <c r="L12" s="772"/>
      <c r="M12" s="772"/>
      <c r="N12" s="773">
        <f>SUM(D12:M12)/(10-O$25)</f>
        <v>0</v>
      </c>
      <c r="O12" s="768"/>
      <c r="Q12" s="753" t="s">
        <v>659</v>
      </c>
      <c r="R12" s="753">
        <v>3</v>
      </c>
      <c r="S12" s="769" t="s">
        <v>665</v>
      </c>
      <c r="T12" s="764" t="s">
        <v>666</v>
      </c>
    </row>
    <row r="13" spans="1:20" ht="13.5" customHeight="1" thickBot="1" x14ac:dyDescent="0.25">
      <c r="A13" s="1032"/>
      <c r="B13" s="774"/>
      <c r="C13" s="775">
        <v>4</v>
      </c>
      <c r="D13" s="776"/>
      <c r="E13" s="776"/>
      <c r="F13" s="776"/>
      <c r="G13" s="776"/>
      <c r="H13" s="776"/>
      <c r="I13" s="776"/>
      <c r="J13" s="776"/>
      <c r="K13" s="776"/>
      <c r="L13" s="776"/>
      <c r="M13" s="776"/>
      <c r="N13" s="777">
        <f>SUM(D13:M13)/(10-O$26)</f>
        <v>0</v>
      </c>
      <c r="O13" s="768"/>
      <c r="Q13" s="753" t="s">
        <v>659</v>
      </c>
      <c r="R13" s="753">
        <v>4</v>
      </c>
      <c r="S13" s="753" t="s">
        <v>667</v>
      </c>
      <c r="T13" s="764" t="s">
        <v>668</v>
      </c>
    </row>
    <row r="14" spans="1:20" x14ac:dyDescent="0.2">
      <c r="B14" s="764" t="str">
        <f>IF(OR($C$3="Höstvete",$C$3="Vårvete",$C$3="Rågvete"),T11,IF($C$3="Råg",T16,IF(OR($C$3="Vårkorn",$C$3="Höstkorn"),T21,T26)))</f>
        <v>Kornrost</v>
      </c>
      <c r="C14" s="765">
        <v>1</v>
      </c>
      <c r="D14" s="766"/>
      <c r="E14" s="766"/>
      <c r="F14" s="766"/>
      <c r="G14" s="766"/>
      <c r="H14" s="766"/>
      <c r="I14" s="766"/>
      <c r="J14" s="766"/>
      <c r="K14" s="766"/>
      <c r="L14" s="766"/>
      <c r="M14" s="766"/>
      <c r="N14" s="767">
        <f>SUM(D14:M14)/(10-O$23)</f>
        <v>0</v>
      </c>
      <c r="O14" s="768"/>
      <c r="Q14" s="753" t="s">
        <v>659</v>
      </c>
      <c r="R14" s="753">
        <v>5</v>
      </c>
      <c r="S14" s="769" t="s">
        <v>669</v>
      </c>
      <c r="T14" s="764" t="s">
        <v>670</v>
      </c>
    </row>
    <row r="15" spans="1:20" x14ac:dyDescent="0.2">
      <c r="B15" s="769" t="str">
        <f>IF(OR($C$3="Höstvete",$C$3="Vårvete",$C$3="Rågvete"),S11,IF($C$3="Råg",S16,IF(OR($C$3="Vårkorn",$C$3="Höstkorn"),S21,S26)))</f>
        <v>PUCCHD</v>
      </c>
      <c r="C15" s="771">
        <v>2</v>
      </c>
      <c r="D15" s="772"/>
      <c r="E15" s="772"/>
      <c r="F15" s="772"/>
      <c r="G15" s="772"/>
      <c r="H15" s="772"/>
      <c r="I15" s="772"/>
      <c r="J15" s="772"/>
      <c r="K15" s="772"/>
      <c r="L15" s="772"/>
      <c r="M15" s="772"/>
      <c r="N15" s="773">
        <f>SUM(D15:M15)/(10-O$24)</f>
        <v>0</v>
      </c>
      <c r="O15" s="768"/>
      <c r="Q15" s="753" t="s">
        <v>246</v>
      </c>
      <c r="R15" s="753">
        <v>1</v>
      </c>
      <c r="S15" s="753" t="s">
        <v>660</v>
      </c>
      <c r="T15" s="757" t="s">
        <v>661</v>
      </c>
    </row>
    <row r="16" spans="1:20" x14ac:dyDescent="0.2">
      <c r="B16" s="769"/>
      <c r="C16" s="771">
        <v>3</v>
      </c>
      <c r="D16" s="772"/>
      <c r="E16" s="772"/>
      <c r="F16" s="772"/>
      <c r="G16" s="772"/>
      <c r="H16" s="772"/>
      <c r="I16" s="772"/>
      <c r="J16" s="772"/>
      <c r="K16" s="772"/>
      <c r="L16" s="772"/>
      <c r="M16" s="772"/>
      <c r="N16" s="773">
        <f>SUM(D16:M16)/(10-O$25)</f>
        <v>0</v>
      </c>
      <c r="O16" s="768"/>
      <c r="Q16" s="753" t="s">
        <v>246</v>
      </c>
      <c r="R16" s="753">
        <v>2</v>
      </c>
      <c r="S16" s="753" t="s">
        <v>663</v>
      </c>
      <c r="T16" s="757" t="s">
        <v>664</v>
      </c>
    </row>
    <row r="17" spans="1:20" ht="13.5" thickBot="1" x14ac:dyDescent="0.25">
      <c r="B17" s="778"/>
      <c r="C17" s="775">
        <v>4</v>
      </c>
      <c r="D17" s="776"/>
      <c r="E17" s="776"/>
      <c r="F17" s="776"/>
      <c r="G17" s="776"/>
      <c r="H17" s="776"/>
      <c r="I17" s="776"/>
      <c r="J17" s="776"/>
      <c r="K17" s="776"/>
      <c r="L17" s="776"/>
      <c r="M17" s="776"/>
      <c r="N17" s="777">
        <f>SUM(D17:M17)/(10-O$26)</f>
        <v>0</v>
      </c>
      <c r="O17" s="768"/>
      <c r="Q17" s="753" t="s">
        <v>246</v>
      </c>
      <c r="R17" s="753">
        <v>3</v>
      </c>
      <c r="S17" s="769" t="s">
        <v>671</v>
      </c>
      <c r="T17" s="764" t="s">
        <v>672</v>
      </c>
    </row>
    <row r="18" spans="1:20" x14ac:dyDescent="0.2">
      <c r="B18" s="764" t="str">
        <f>IF(OR($C$3="Höstvete",$C$3="Vårvete",$C$3="Rågvete"),T12,IF($C$3="Råg",T17,IF(OR($C$3="Vårkorn",$C$3="Höstkorn"),T22,T27)))</f>
        <v>Sköldfläcksjuka</v>
      </c>
      <c r="C18" s="771">
        <v>1</v>
      </c>
      <c r="D18" s="766"/>
      <c r="E18" s="772"/>
      <c r="F18" s="772"/>
      <c r="G18" s="772"/>
      <c r="H18" s="772"/>
      <c r="I18" s="772"/>
      <c r="J18" s="772"/>
      <c r="K18" s="772"/>
      <c r="L18" s="772"/>
      <c r="M18" s="772"/>
      <c r="N18" s="767">
        <f>SUM(D18:M18)/(10-O$23)</f>
        <v>0</v>
      </c>
      <c r="O18" s="768"/>
      <c r="Q18" s="753" t="s">
        <v>246</v>
      </c>
      <c r="R18" s="753">
        <v>4</v>
      </c>
      <c r="S18" s="769" t="s">
        <v>667</v>
      </c>
      <c r="T18" s="764" t="s">
        <v>668</v>
      </c>
    </row>
    <row r="19" spans="1:20" x14ac:dyDescent="0.2">
      <c r="B19" s="769" t="str">
        <f>IF(OR($C$3="Höstvete",$C$3="Vårvete",$C$3="Rågvete"),S12,IF($C$3="Råg",S17,IF(OR($C$3="Vårkorn",$C$3="Höstkorn"),S22,S27)))</f>
        <v>RHYNSE</v>
      </c>
      <c r="C19" s="771">
        <v>2</v>
      </c>
      <c r="D19" s="772"/>
      <c r="E19" s="772"/>
      <c r="F19" s="772"/>
      <c r="G19" s="772"/>
      <c r="H19" s="772"/>
      <c r="I19" s="772"/>
      <c r="J19" s="772"/>
      <c r="K19" s="772"/>
      <c r="L19" s="772"/>
      <c r="M19" s="772"/>
      <c r="N19" s="773">
        <f>SUM(D19:M19)/(10-O$24)</f>
        <v>0</v>
      </c>
      <c r="O19" s="768"/>
      <c r="S19" s="753" t="s">
        <v>673</v>
      </c>
      <c r="T19" s="753" t="s">
        <v>673</v>
      </c>
    </row>
    <row r="20" spans="1:20" x14ac:dyDescent="0.2">
      <c r="B20" s="769"/>
      <c r="C20" s="771">
        <v>3</v>
      </c>
      <c r="D20" s="772"/>
      <c r="E20" s="772"/>
      <c r="F20" s="772"/>
      <c r="G20" s="772"/>
      <c r="H20" s="772"/>
      <c r="I20" s="772"/>
      <c r="J20" s="772"/>
      <c r="K20" s="772"/>
      <c r="L20" s="772"/>
      <c r="M20" s="772"/>
      <c r="N20" s="773">
        <f>SUM(D20:M20)/(10-O$25)</f>
        <v>0</v>
      </c>
      <c r="O20" s="768"/>
      <c r="Q20" s="753" t="s">
        <v>674</v>
      </c>
      <c r="R20" s="753">
        <v>1</v>
      </c>
      <c r="S20" s="769" t="s">
        <v>660</v>
      </c>
      <c r="T20" s="764" t="s">
        <v>661</v>
      </c>
    </row>
    <row r="21" spans="1:20" ht="13.5" thickBot="1" x14ac:dyDescent="0.25">
      <c r="B21" s="778"/>
      <c r="C21" s="775">
        <v>4</v>
      </c>
      <c r="D21" s="776"/>
      <c r="E21" s="776"/>
      <c r="F21" s="776"/>
      <c r="G21" s="776"/>
      <c r="H21" s="776"/>
      <c r="I21" s="776"/>
      <c r="J21" s="776"/>
      <c r="K21" s="776"/>
      <c r="L21" s="776"/>
      <c r="M21" s="776"/>
      <c r="N21" s="777">
        <f>SUM(D21:M21)/(10-O$26)</f>
        <v>0</v>
      </c>
      <c r="O21" s="768"/>
      <c r="Q21" s="753" t="s">
        <v>674</v>
      </c>
      <c r="R21" s="753">
        <v>2</v>
      </c>
      <c r="S21" s="769" t="s">
        <v>675</v>
      </c>
      <c r="T21" s="764" t="s">
        <v>676</v>
      </c>
    </row>
    <row r="22" spans="1:20" x14ac:dyDescent="0.2">
      <c r="B22" s="764" t="str">
        <f>IF(OR($C$3="Höstvete",$C$3="Vårvete",$C$3="Rågvete"),T13,IF($C$3="Råg",T18,IF(OR($C$3="Vårkorn",$C$3="Höstkorn"),T23,T28)))</f>
        <v>Bladfläcksjuka</v>
      </c>
      <c r="C22" s="771">
        <v>1</v>
      </c>
      <c r="D22" s="766"/>
      <c r="E22" s="772"/>
      <c r="F22" s="772"/>
      <c r="G22" s="772"/>
      <c r="H22" s="772"/>
      <c r="I22" s="772"/>
      <c r="J22" s="772"/>
      <c r="K22" s="772"/>
      <c r="L22" s="772"/>
      <c r="M22" s="772"/>
      <c r="N22" s="767">
        <f>SUM(D22:M22)/(10-O$23)</f>
        <v>0</v>
      </c>
      <c r="O22" s="779">
        <f>COUNTIF(D22:M22,"=V")</f>
        <v>0</v>
      </c>
      <c r="Q22" s="753" t="s">
        <v>674</v>
      </c>
      <c r="R22" s="753">
        <v>3</v>
      </c>
      <c r="S22" s="769" t="s">
        <v>671</v>
      </c>
      <c r="T22" s="764" t="s">
        <v>672</v>
      </c>
    </row>
    <row r="23" spans="1:20" x14ac:dyDescent="0.2">
      <c r="B23" s="769" t="str">
        <f>IF(OR($C$3="Höstvete",$C$3="Vårvete",$C$3="Rågvete"),S13,IF($C$3="Råg",S18,IF(OR($C$3="Vårkorn",$C$3="Höstkorn"),S23,S28)))</f>
        <v>PYRNTE</v>
      </c>
      <c r="C23" s="771">
        <v>2</v>
      </c>
      <c r="D23" s="772"/>
      <c r="E23" s="772"/>
      <c r="F23" s="772"/>
      <c r="G23" s="772"/>
      <c r="H23" s="772"/>
      <c r="I23" s="772"/>
      <c r="J23" s="772"/>
      <c r="K23" s="772"/>
      <c r="L23" s="772"/>
      <c r="M23" s="772"/>
      <c r="N23" s="773">
        <f>SUM(D23:M23)/(10-O$24)</f>
        <v>0</v>
      </c>
      <c r="O23" s="780">
        <f t="shared" ref="O23:O25" si="0">COUNTIF(D23:M23,"=V")</f>
        <v>0</v>
      </c>
      <c r="Q23" s="753" t="s">
        <v>674</v>
      </c>
      <c r="R23" s="753">
        <v>4</v>
      </c>
      <c r="S23" s="769" t="s">
        <v>677</v>
      </c>
      <c r="T23" s="764" t="s">
        <v>678</v>
      </c>
    </row>
    <row r="24" spans="1:20" x14ac:dyDescent="0.2">
      <c r="B24" s="769"/>
      <c r="C24" s="771">
        <v>3</v>
      </c>
      <c r="D24" s="772"/>
      <c r="E24" s="772"/>
      <c r="F24" s="772"/>
      <c r="G24" s="772"/>
      <c r="H24" s="772"/>
      <c r="I24" s="772"/>
      <c r="J24" s="772"/>
      <c r="K24" s="772"/>
      <c r="L24" s="772"/>
      <c r="M24" s="772"/>
      <c r="N24" s="773">
        <f>SUM(D24:M24)/(10-O$25)</f>
        <v>0</v>
      </c>
      <c r="O24" s="780">
        <f t="shared" si="0"/>
        <v>0</v>
      </c>
      <c r="S24" s="753" t="s">
        <v>673</v>
      </c>
      <c r="T24" s="753" t="s">
        <v>673</v>
      </c>
    </row>
    <row r="25" spans="1:20" ht="13.5" thickBot="1" x14ac:dyDescent="0.25">
      <c r="B25" s="778"/>
      <c r="C25" s="775">
        <v>4</v>
      </c>
      <c r="D25" s="776"/>
      <c r="E25" s="776"/>
      <c r="F25" s="776"/>
      <c r="G25" s="776"/>
      <c r="H25" s="776"/>
      <c r="I25" s="776"/>
      <c r="J25" s="776"/>
      <c r="K25" s="776"/>
      <c r="L25" s="776"/>
      <c r="M25" s="776"/>
      <c r="N25" s="777">
        <f>SUM(D25:M25)/(10-O$26)</f>
        <v>0</v>
      </c>
      <c r="O25" s="781">
        <f t="shared" si="0"/>
        <v>0</v>
      </c>
      <c r="Q25" s="753" t="s">
        <v>251</v>
      </c>
      <c r="R25" s="753">
        <v>1</v>
      </c>
      <c r="S25" s="769" t="s">
        <v>660</v>
      </c>
      <c r="T25" s="764" t="s">
        <v>661</v>
      </c>
    </row>
    <row r="26" spans="1:20" x14ac:dyDescent="0.2">
      <c r="B26" s="764" t="str">
        <f>IF(OR($C$3="Höstvete",$C$3="Vårvete",$C$3="Rågvete"),T14,IF($C$3="Råg",T19,IF(OR($C$3="Vårkorn",$C$3="Höstkorn"),T24,T29)))</f>
        <v xml:space="preserve">  </v>
      </c>
      <c r="C26" s="771">
        <v>1</v>
      </c>
      <c r="D26" s="772"/>
      <c r="E26" s="772"/>
      <c r="F26" s="772"/>
      <c r="G26" s="772"/>
      <c r="H26" s="772"/>
      <c r="I26" s="772"/>
      <c r="J26" s="772"/>
      <c r="K26" s="772"/>
      <c r="L26" s="772"/>
      <c r="M26" s="772"/>
      <c r="N26" s="767">
        <f>SUM(D26:M26)/(10-O$23)</f>
        <v>0</v>
      </c>
      <c r="O26" s="768"/>
      <c r="Q26" s="753" t="s">
        <v>251</v>
      </c>
      <c r="R26" s="753">
        <v>2</v>
      </c>
      <c r="S26" s="769" t="s">
        <v>679</v>
      </c>
      <c r="T26" s="764" t="s">
        <v>680</v>
      </c>
    </row>
    <row r="27" spans="1:20" x14ac:dyDescent="0.2">
      <c r="B27" s="769" t="str">
        <f>IF(OR($C$3="Höstvete",$C$3="Vårvete",$C$3="Rågvete"),S14,IF($C$3="Råg",S19,IF(OR($C$3="Vårkorn",$C$3="Höstkorn"),S24,S29)))</f>
        <v xml:space="preserve">  </v>
      </c>
      <c r="C27" s="771">
        <v>2</v>
      </c>
      <c r="D27" s="772"/>
      <c r="E27" s="772"/>
      <c r="F27" s="772"/>
      <c r="G27" s="772"/>
      <c r="H27" s="772"/>
      <c r="I27" s="772"/>
      <c r="J27" s="772"/>
      <c r="K27" s="772"/>
      <c r="L27" s="772"/>
      <c r="M27" s="772"/>
      <c r="N27" s="773">
        <f>SUM(D27:M27)/(10-O$24)</f>
        <v>0</v>
      </c>
      <c r="O27" s="768"/>
      <c r="Q27" s="753" t="s">
        <v>251</v>
      </c>
      <c r="R27" s="753">
        <v>3</v>
      </c>
      <c r="S27" s="769" t="s">
        <v>681</v>
      </c>
      <c r="T27" s="764" t="s">
        <v>678</v>
      </c>
    </row>
    <row r="28" spans="1:20" x14ac:dyDescent="0.2">
      <c r="B28" s="769"/>
      <c r="C28" s="771">
        <v>3</v>
      </c>
      <c r="D28" s="772"/>
      <c r="E28" s="772"/>
      <c r="F28" s="772"/>
      <c r="G28" s="772"/>
      <c r="H28" s="772"/>
      <c r="I28" s="772"/>
      <c r="J28" s="772"/>
      <c r="K28" s="772"/>
      <c r="L28" s="772"/>
      <c r="M28" s="772"/>
      <c r="N28" s="773">
        <f>SUM(D28:M28)/(10-O$25)</f>
        <v>0</v>
      </c>
      <c r="O28" s="768"/>
      <c r="Q28" s="753" t="s">
        <v>251</v>
      </c>
      <c r="R28" s="753">
        <v>4</v>
      </c>
      <c r="S28" s="769" t="s">
        <v>682</v>
      </c>
      <c r="T28" s="764" t="s">
        <v>683</v>
      </c>
    </row>
    <row r="29" spans="1:20" ht="13.5" thickBot="1" x14ac:dyDescent="0.25">
      <c r="A29" s="782"/>
      <c r="B29" s="783"/>
      <c r="C29" s="784">
        <v>4</v>
      </c>
      <c r="D29" s="785"/>
      <c r="E29" s="785"/>
      <c r="F29" s="785"/>
      <c r="G29" s="785"/>
      <c r="H29" s="785"/>
      <c r="I29" s="785"/>
      <c r="J29" s="785"/>
      <c r="K29" s="785"/>
      <c r="L29" s="785"/>
      <c r="M29" s="785"/>
      <c r="N29" s="777">
        <f>SUM(D29:M29)/(10-O$26)</f>
        <v>0</v>
      </c>
      <c r="O29" s="786"/>
      <c r="S29" s="753" t="s">
        <v>673</v>
      </c>
      <c r="T29" s="753" t="s">
        <v>673</v>
      </c>
    </row>
    <row r="30" spans="1:20" ht="13.5" thickTop="1" x14ac:dyDescent="0.2">
      <c r="A30" s="763" t="s">
        <v>684</v>
      </c>
      <c r="B30" s="764" t="str">
        <f>B10</f>
        <v>Mjöldagg</v>
      </c>
      <c r="C30" s="765">
        <v>1</v>
      </c>
      <c r="D30" s="766"/>
      <c r="E30" s="766"/>
      <c r="F30" s="766"/>
      <c r="G30" s="766"/>
      <c r="H30" s="766"/>
      <c r="I30" s="766"/>
      <c r="J30" s="766"/>
      <c r="K30" s="766"/>
      <c r="L30" s="766"/>
      <c r="M30" s="766"/>
      <c r="N30" s="767">
        <f>SUM(D30:M30)/(10-O$43)</f>
        <v>0</v>
      </c>
      <c r="O30" s="768"/>
    </row>
    <row r="31" spans="1:20" x14ac:dyDescent="0.2">
      <c r="A31" s="770" t="s">
        <v>662</v>
      </c>
      <c r="B31" s="769" t="str">
        <f>B11</f>
        <v>ERYSGR</v>
      </c>
      <c r="C31" s="771">
        <v>2</v>
      </c>
      <c r="D31" s="772"/>
      <c r="E31" s="772"/>
      <c r="F31" s="772"/>
      <c r="G31" s="772"/>
      <c r="H31" s="772"/>
      <c r="I31" s="772"/>
      <c r="J31" s="772"/>
      <c r="K31" s="772"/>
      <c r="L31" s="772"/>
      <c r="M31" s="772"/>
      <c r="N31" s="773">
        <f>SUM(D31:M31)/(10-O$44)</f>
        <v>0</v>
      </c>
      <c r="O31" s="768"/>
    </row>
    <row r="32" spans="1:20" ht="12.75" customHeight="1" x14ac:dyDescent="0.2">
      <c r="A32" s="1031">
        <f>Led!Q96</f>
        <v>13</v>
      </c>
      <c r="B32" s="769"/>
      <c r="C32" s="771">
        <v>3</v>
      </c>
      <c r="D32" s="772"/>
      <c r="E32" s="772"/>
      <c r="F32" s="772"/>
      <c r="G32" s="772"/>
      <c r="H32" s="772"/>
      <c r="I32" s="772"/>
      <c r="J32" s="772"/>
      <c r="K32" s="772"/>
      <c r="L32" s="772"/>
      <c r="M32" s="772"/>
      <c r="N32" s="773">
        <f>SUM(D32:M32)/(10-O$45)</f>
        <v>0</v>
      </c>
      <c r="O32" s="768"/>
    </row>
    <row r="33" spans="1:19" ht="13.5" customHeight="1" thickBot="1" x14ac:dyDescent="0.25">
      <c r="A33" s="1032"/>
      <c r="B33" s="774"/>
      <c r="C33" s="775">
        <v>4</v>
      </c>
      <c r="D33" s="776"/>
      <c r="E33" s="776"/>
      <c r="F33" s="776"/>
      <c r="G33" s="776"/>
      <c r="H33" s="776"/>
      <c r="I33" s="776"/>
      <c r="J33" s="776"/>
      <c r="K33" s="776"/>
      <c r="L33" s="776"/>
      <c r="M33" s="776"/>
      <c r="N33" s="777">
        <f>SUM(D33:M33)/(10-O$46)</f>
        <v>0</v>
      </c>
      <c r="O33" s="768"/>
    </row>
    <row r="34" spans="1:19" x14ac:dyDescent="0.2">
      <c r="B34" s="764" t="str">
        <f>B14</f>
        <v>Kornrost</v>
      </c>
      <c r="C34" s="765">
        <v>1</v>
      </c>
      <c r="D34" s="766"/>
      <c r="E34" s="766"/>
      <c r="F34" s="766"/>
      <c r="G34" s="766"/>
      <c r="H34" s="766"/>
      <c r="I34" s="766"/>
      <c r="J34" s="766"/>
      <c r="K34" s="766"/>
      <c r="L34" s="766"/>
      <c r="M34" s="766"/>
      <c r="N34" s="767">
        <f>SUM(D34:M34)/(10-O$43)</f>
        <v>0</v>
      </c>
      <c r="O34" s="768"/>
    </row>
    <row r="35" spans="1:19" x14ac:dyDescent="0.2">
      <c r="B35" s="769" t="str">
        <f>B15</f>
        <v>PUCCHD</v>
      </c>
      <c r="C35" s="771">
        <v>2</v>
      </c>
      <c r="D35" s="772"/>
      <c r="E35" s="772"/>
      <c r="F35" s="772"/>
      <c r="G35" s="772"/>
      <c r="H35" s="772"/>
      <c r="I35" s="772"/>
      <c r="J35" s="772"/>
      <c r="K35" s="772"/>
      <c r="L35" s="772"/>
      <c r="M35" s="772"/>
      <c r="N35" s="773">
        <f>SUM(D35:M35)/(10-O$44)</f>
        <v>0</v>
      </c>
      <c r="O35" s="768"/>
    </row>
    <row r="36" spans="1:19" x14ac:dyDescent="0.2">
      <c r="B36" s="769"/>
      <c r="C36" s="771">
        <v>3</v>
      </c>
      <c r="D36" s="772"/>
      <c r="E36" s="772"/>
      <c r="F36" s="772"/>
      <c r="G36" s="772"/>
      <c r="H36" s="772"/>
      <c r="I36" s="772"/>
      <c r="J36" s="772"/>
      <c r="K36" s="772"/>
      <c r="L36" s="772"/>
      <c r="M36" s="772"/>
      <c r="N36" s="773">
        <f>SUM(D36:M36)/(10-O$45)</f>
        <v>0</v>
      </c>
      <c r="O36" s="768"/>
    </row>
    <row r="37" spans="1:19" ht="13.5" thickBot="1" x14ac:dyDescent="0.25">
      <c r="B37" s="778"/>
      <c r="C37" s="775">
        <v>4</v>
      </c>
      <c r="D37" s="776"/>
      <c r="E37" s="776"/>
      <c r="F37" s="776"/>
      <c r="G37" s="776"/>
      <c r="H37" s="776"/>
      <c r="I37" s="776"/>
      <c r="J37" s="776"/>
      <c r="K37" s="776"/>
      <c r="L37" s="776"/>
      <c r="M37" s="776"/>
      <c r="N37" s="777">
        <f>SUM(D37:M37)/(10-O$46)</f>
        <v>0</v>
      </c>
      <c r="O37" s="768"/>
    </row>
    <row r="38" spans="1:19" x14ac:dyDescent="0.2">
      <c r="B38" s="764" t="str">
        <f>B18</f>
        <v>Sköldfläcksjuka</v>
      </c>
      <c r="C38" s="771">
        <v>1</v>
      </c>
      <c r="D38" s="772"/>
      <c r="E38" s="772"/>
      <c r="F38" s="772"/>
      <c r="G38" s="772"/>
      <c r="H38" s="772"/>
      <c r="I38" s="772"/>
      <c r="J38" s="772"/>
      <c r="K38" s="772"/>
      <c r="L38" s="772"/>
      <c r="M38" s="772"/>
      <c r="N38" s="767">
        <f>SUM(D38:M38)/(10-O$43)</f>
        <v>0</v>
      </c>
      <c r="O38" s="768"/>
    </row>
    <row r="39" spans="1:19" x14ac:dyDescent="0.2">
      <c r="B39" s="769" t="str">
        <f>B19</f>
        <v>RHYNSE</v>
      </c>
      <c r="C39" s="771">
        <v>2</v>
      </c>
      <c r="D39" s="772"/>
      <c r="E39" s="772"/>
      <c r="F39" s="772"/>
      <c r="G39" s="772"/>
      <c r="H39" s="772"/>
      <c r="I39" s="772"/>
      <c r="J39" s="772"/>
      <c r="K39" s="772"/>
      <c r="L39" s="772"/>
      <c r="M39" s="772"/>
      <c r="N39" s="773">
        <f>SUM(D39:M39)/(10-O$44)</f>
        <v>0</v>
      </c>
      <c r="O39" s="768"/>
      <c r="R39" s="764"/>
    </row>
    <row r="40" spans="1:19" x14ac:dyDescent="0.2">
      <c r="B40" s="769"/>
      <c r="C40" s="771">
        <v>3</v>
      </c>
      <c r="D40" s="772"/>
      <c r="E40" s="772"/>
      <c r="F40" s="772"/>
      <c r="G40" s="772"/>
      <c r="H40" s="772"/>
      <c r="I40" s="772"/>
      <c r="J40" s="772"/>
      <c r="K40" s="772"/>
      <c r="L40" s="772"/>
      <c r="M40" s="772"/>
      <c r="N40" s="773">
        <f>SUM(D40:M40)/(10-O$45)</f>
        <v>0</v>
      </c>
      <c r="O40" s="768"/>
      <c r="R40" s="764"/>
      <c r="S40" s="764"/>
    </row>
    <row r="41" spans="1:19" ht="13.5" thickBot="1" x14ac:dyDescent="0.25">
      <c r="B41" s="778"/>
      <c r="C41" s="775">
        <v>4</v>
      </c>
      <c r="D41" s="776"/>
      <c r="E41" s="776"/>
      <c r="F41" s="776"/>
      <c r="G41" s="776"/>
      <c r="H41" s="776"/>
      <c r="I41" s="776"/>
      <c r="J41" s="776"/>
      <c r="K41" s="776"/>
      <c r="L41" s="776"/>
      <c r="M41" s="776"/>
      <c r="N41" s="777">
        <f>SUM(D41:M41)/(10-O$46)</f>
        <v>0</v>
      </c>
      <c r="O41" s="768"/>
      <c r="R41" s="764"/>
      <c r="S41" s="764"/>
    </row>
    <row r="42" spans="1:19" x14ac:dyDescent="0.2">
      <c r="B42" s="764" t="str">
        <f>B22</f>
        <v>Bladfläcksjuka</v>
      </c>
      <c r="C42" s="771">
        <v>1</v>
      </c>
      <c r="D42" s="772"/>
      <c r="E42" s="772"/>
      <c r="F42" s="772"/>
      <c r="G42" s="772"/>
      <c r="H42" s="772"/>
      <c r="I42" s="772"/>
      <c r="J42" s="772"/>
      <c r="K42" s="772"/>
      <c r="L42" s="772"/>
      <c r="M42" s="772"/>
      <c r="N42" s="767">
        <f>SUM(D42:M42)/(10-O$43)</f>
        <v>0</v>
      </c>
      <c r="O42" s="787">
        <f>COUNTIF(D42:M42,"=V")</f>
        <v>0</v>
      </c>
      <c r="R42" s="764"/>
      <c r="S42" s="764"/>
    </row>
    <row r="43" spans="1:19" x14ac:dyDescent="0.2">
      <c r="B43" s="769" t="str">
        <f>B23</f>
        <v>PYRNTE</v>
      </c>
      <c r="C43" s="771">
        <v>2</v>
      </c>
      <c r="D43" s="772"/>
      <c r="E43" s="772"/>
      <c r="F43" s="772"/>
      <c r="G43" s="772"/>
      <c r="H43" s="772"/>
      <c r="I43" s="772"/>
      <c r="J43" s="772"/>
      <c r="K43" s="772"/>
      <c r="L43" s="772"/>
      <c r="M43" s="772"/>
      <c r="N43" s="773">
        <f>SUM(D43:M43)/(10-O$44)</f>
        <v>0</v>
      </c>
      <c r="O43" s="788">
        <f t="shared" ref="O43:O45" si="1">COUNTIF(D43:M43,"=V")</f>
        <v>0</v>
      </c>
      <c r="R43" s="764"/>
      <c r="S43" s="764"/>
    </row>
    <row r="44" spans="1:19" x14ac:dyDescent="0.2">
      <c r="B44" s="769"/>
      <c r="C44" s="771">
        <v>3</v>
      </c>
      <c r="D44" s="772"/>
      <c r="E44" s="772"/>
      <c r="F44" s="772"/>
      <c r="G44" s="772"/>
      <c r="H44" s="772"/>
      <c r="I44" s="772"/>
      <c r="J44" s="772"/>
      <c r="K44" s="772"/>
      <c r="L44" s="772"/>
      <c r="M44" s="772"/>
      <c r="N44" s="773">
        <f>SUM(D44:M44)/(10-O$45)</f>
        <v>0</v>
      </c>
      <c r="O44" s="788">
        <f t="shared" si="1"/>
        <v>0</v>
      </c>
      <c r="R44" s="764"/>
      <c r="S44" s="764"/>
    </row>
    <row r="45" spans="1:19" ht="13.5" thickBot="1" x14ac:dyDescent="0.25">
      <c r="B45" s="778"/>
      <c r="C45" s="775">
        <v>4</v>
      </c>
      <c r="D45" s="776"/>
      <c r="E45" s="776"/>
      <c r="F45" s="776"/>
      <c r="G45" s="776"/>
      <c r="H45" s="776"/>
      <c r="I45" s="776"/>
      <c r="J45" s="776"/>
      <c r="K45" s="776"/>
      <c r="L45" s="776"/>
      <c r="M45" s="776"/>
      <c r="N45" s="777">
        <f>SUM(D45:M45)/(10-O$46)</f>
        <v>0</v>
      </c>
      <c r="O45" s="789">
        <f t="shared" si="1"/>
        <v>0</v>
      </c>
      <c r="R45" s="764"/>
      <c r="S45" s="764"/>
    </row>
    <row r="46" spans="1:19" x14ac:dyDescent="0.2">
      <c r="B46" s="764" t="str">
        <f>B26</f>
        <v xml:space="preserve">  </v>
      </c>
      <c r="C46" s="771">
        <v>1</v>
      </c>
      <c r="D46" s="772"/>
      <c r="E46" s="772"/>
      <c r="F46" s="772"/>
      <c r="G46" s="772"/>
      <c r="H46" s="772"/>
      <c r="I46" s="772"/>
      <c r="J46" s="772"/>
      <c r="K46" s="772"/>
      <c r="L46" s="772"/>
      <c r="M46" s="772"/>
      <c r="N46" s="767">
        <f>SUM(D46:M46)/(10-O$43)</f>
        <v>0</v>
      </c>
      <c r="O46" s="768"/>
    </row>
    <row r="47" spans="1:19" x14ac:dyDescent="0.2">
      <c r="B47" s="769" t="str">
        <f>B27</f>
        <v xml:space="preserve">  </v>
      </c>
      <c r="C47" s="771">
        <v>2</v>
      </c>
      <c r="D47" s="772"/>
      <c r="E47" s="772"/>
      <c r="F47" s="772"/>
      <c r="G47" s="772"/>
      <c r="H47" s="772"/>
      <c r="I47" s="772"/>
      <c r="J47" s="772"/>
      <c r="K47" s="772"/>
      <c r="L47" s="772"/>
      <c r="M47" s="772"/>
      <c r="N47" s="773">
        <f>SUM(D47:M47)/(10-O$44)</f>
        <v>0</v>
      </c>
      <c r="O47" s="768"/>
    </row>
    <row r="48" spans="1:19" x14ac:dyDescent="0.2">
      <c r="B48" s="769"/>
      <c r="C48" s="771">
        <v>3</v>
      </c>
      <c r="D48" s="772"/>
      <c r="E48" s="772"/>
      <c r="F48" s="772"/>
      <c r="G48" s="772"/>
      <c r="H48" s="772"/>
      <c r="I48" s="772"/>
      <c r="J48" s="772"/>
      <c r="K48" s="772"/>
      <c r="L48" s="772"/>
      <c r="M48" s="772"/>
      <c r="N48" s="773">
        <f>SUM(D48:M48)/(10-O$45)</f>
        <v>0</v>
      </c>
      <c r="O48" s="768"/>
    </row>
    <row r="49" spans="1:15" ht="13.5" thickBot="1" x14ac:dyDescent="0.25">
      <c r="A49" s="782"/>
      <c r="B49" s="783"/>
      <c r="C49" s="784">
        <v>4</v>
      </c>
      <c r="D49" s="785"/>
      <c r="E49" s="785"/>
      <c r="F49" s="785"/>
      <c r="G49" s="785"/>
      <c r="H49" s="785"/>
      <c r="I49" s="785"/>
      <c r="J49" s="785"/>
      <c r="K49" s="785"/>
      <c r="L49" s="785"/>
      <c r="M49" s="785"/>
      <c r="N49" s="777">
        <f>SUM(D49:M49)/(10-O$46)</f>
        <v>0</v>
      </c>
      <c r="O49" s="768"/>
    </row>
    <row r="50" spans="1:15" ht="13.5" thickTop="1" x14ac:dyDescent="0.2">
      <c r="A50" s="680"/>
      <c r="B50" s="680"/>
      <c r="C50" s="680"/>
      <c r="D50" s="680"/>
      <c r="E50" s="680"/>
      <c r="F50" s="680"/>
      <c r="G50" s="680"/>
      <c r="H50" s="680"/>
      <c r="I50" s="680"/>
      <c r="J50" s="680"/>
      <c r="K50" s="680"/>
      <c r="L50" s="680"/>
      <c r="M50" s="680"/>
      <c r="N50" s="680"/>
    </row>
    <row r="51" spans="1:15" x14ac:dyDescent="0.2">
      <c r="A51" s="680"/>
      <c r="B51" s="680"/>
      <c r="C51" s="680"/>
      <c r="D51" s="680"/>
      <c r="E51" s="680"/>
      <c r="F51" s="680"/>
      <c r="G51" s="680"/>
      <c r="H51" s="680"/>
      <c r="I51" s="680"/>
      <c r="J51" s="680"/>
      <c r="K51" s="680"/>
      <c r="L51" s="680"/>
      <c r="M51" s="680"/>
      <c r="N51" s="680"/>
    </row>
    <row r="52" spans="1:15" x14ac:dyDescent="0.2">
      <c r="A52" s="680"/>
      <c r="B52" s="680"/>
      <c r="C52" s="680"/>
      <c r="D52" s="680"/>
      <c r="E52" s="680"/>
      <c r="F52" s="680"/>
      <c r="G52" s="680"/>
      <c r="H52" s="680"/>
      <c r="I52" s="680"/>
      <c r="J52" s="680"/>
      <c r="K52" s="680"/>
      <c r="L52" s="680"/>
      <c r="M52" s="680"/>
      <c r="N52" s="680"/>
    </row>
    <row r="53" spans="1:15" ht="15.75" x14ac:dyDescent="0.25">
      <c r="L53" s="756" t="s">
        <v>685</v>
      </c>
    </row>
    <row r="54" spans="1:15" ht="8.25" customHeight="1" x14ac:dyDescent="0.2"/>
    <row r="55" spans="1:15" x14ac:dyDescent="0.2">
      <c r="A55" s="1013" t="s">
        <v>648</v>
      </c>
      <c r="B55" s="1013"/>
      <c r="C55" s="1014" t="s">
        <v>155</v>
      </c>
      <c r="D55" s="1015"/>
      <c r="E55" s="1016"/>
      <c r="F55" s="1017" t="s">
        <v>649</v>
      </c>
      <c r="G55" s="1018"/>
      <c r="H55" s="1019"/>
      <c r="I55" s="1020" t="s">
        <v>46</v>
      </c>
      <c r="J55" s="1020"/>
      <c r="K55" s="1020"/>
      <c r="L55" s="1017"/>
      <c r="M55" s="1020" t="s">
        <v>650</v>
      </c>
      <c r="N55" s="1020"/>
    </row>
    <row r="56" spans="1:15" ht="25.5" customHeight="1" x14ac:dyDescent="0.25">
      <c r="A56" s="1021" t="str">
        <f>IF(ISBLANK(A6),"",A6)</f>
        <v>HUG066</v>
      </c>
      <c r="B56" s="1021"/>
      <c r="C56" s="1022" t="str">
        <f>IF(ISBLANK(C6),"",C6)</f>
        <v>M-658-2014</v>
      </c>
      <c r="D56" s="1023"/>
      <c r="E56" s="1024"/>
      <c r="F56" s="1025" t="str">
        <f>IF(ISBLANK(F6),"",F6)</f>
        <v/>
      </c>
      <c r="G56" s="1026"/>
      <c r="H56" s="1027"/>
      <c r="I56" s="1025" t="str">
        <f>IF(ISBLANK(I6),"",I6)</f>
        <v/>
      </c>
      <c r="J56" s="1026"/>
      <c r="K56" s="1026"/>
      <c r="L56" s="1026"/>
      <c r="M56" s="1028" t="str">
        <f>IF(ISBLANK(M6),"",M6)</f>
        <v/>
      </c>
      <c r="N56" s="1028"/>
    </row>
    <row r="57" spans="1:15" x14ac:dyDescent="0.2">
      <c r="D57" s="1009" t="s">
        <v>1381</v>
      </c>
      <c r="E57" s="1009"/>
      <c r="F57" s="1009"/>
      <c r="G57" s="1009"/>
      <c r="H57" s="1009"/>
      <c r="I57" s="1009"/>
      <c r="J57" s="1009"/>
      <c r="K57" s="1009"/>
      <c r="L57" s="1009"/>
      <c r="M57" s="1009"/>
      <c r="N57" s="1009"/>
    </row>
    <row r="58" spans="1:15" x14ac:dyDescent="0.2">
      <c r="B58" s="757" t="s">
        <v>651</v>
      </c>
      <c r="C58" s="758" t="s">
        <v>652</v>
      </c>
      <c r="D58" s="1029" t="s">
        <v>653</v>
      </c>
      <c r="E58" s="1030"/>
      <c r="F58" s="1030"/>
      <c r="G58" s="1030"/>
      <c r="H58" s="1030"/>
      <c r="I58" s="1030"/>
      <c r="J58" s="1030"/>
      <c r="K58" s="1030"/>
      <c r="L58" s="1030"/>
      <c r="M58" s="1030"/>
      <c r="O58" s="753" t="s">
        <v>654</v>
      </c>
    </row>
    <row r="59" spans="1:15" ht="13.5" thickBot="1" x14ac:dyDescent="0.25">
      <c r="A59" s="759"/>
      <c r="B59" s="759"/>
      <c r="C59" s="760" t="s">
        <v>655</v>
      </c>
      <c r="D59" s="761">
        <v>1</v>
      </c>
      <c r="E59" s="761">
        <v>2</v>
      </c>
      <c r="F59" s="761">
        <v>3</v>
      </c>
      <c r="G59" s="761">
        <v>4</v>
      </c>
      <c r="H59" s="761">
        <v>5</v>
      </c>
      <c r="I59" s="761">
        <v>6</v>
      </c>
      <c r="J59" s="761">
        <v>7</v>
      </c>
      <c r="K59" s="761">
        <v>8</v>
      </c>
      <c r="L59" s="761">
        <v>9</v>
      </c>
      <c r="M59" s="761">
        <v>10</v>
      </c>
      <c r="N59" s="762" t="s">
        <v>656</v>
      </c>
      <c r="O59" s="761" t="s">
        <v>657</v>
      </c>
    </row>
    <row r="60" spans="1:15" x14ac:dyDescent="0.2">
      <c r="A60" s="763" t="s">
        <v>686</v>
      </c>
      <c r="B60" s="764" t="str">
        <f>B10</f>
        <v>Mjöldagg</v>
      </c>
      <c r="C60" s="765">
        <v>1</v>
      </c>
      <c r="D60" s="766"/>
      <c r="E60" s="766"/>
      <c r="F60" s="766"/>
      <c r="G60" s="766"/>
      <c r="H60" s="766"/>
      <c r="I60" s="766"/>
      <c r="J60" s="766"/>
      <c r="K60" s="766"/>
      <c r="L60" s="766"/>
      <c r="M60" s="766"/>
      <c r="N60" s="767">
        <f>SUM(D60:M60)/(10-O$73)</f>
        <v>0</v>
      </c>
      <c r="O60" s="768"/>
    </row>
    <row r="61" spans="1:15" x14ac:dyDescent="0.2">
      <c r="A61" s="770" t="s">
        <v>662</v>
      </c>
      <c r="B61" s="769" t="str">
        <f>B11</f>
        <v>ERYSGR</v>
      </c>
      <c r="C61" s="771">
        <v>2</v>
      </c>
      <c r="D61" s="772"/>
      <c r="E61" s="772"/>
      <c r="F61" s="772"/>
      <c r="G61" s="772"/>
      <c r="H61" s="772"/>
      <c r="I61" s="772"/>
      <c r="J61" s="772"/>
      <c r="K61" s="772"/>
      <c r="L61" s="772"/>
      <c r="M61" s="772"/>
      <c r="N61" s="773">
        <f>SUM(D61:M61)/(10-O$74)</f>
        <v>0</v>
      </c>
      <c r="O61" s="768"/>
    </row>
    <row r="62" spans="1:15" ht="12.75" customHeight="1" x14ac:dyDescent="0.2">
      <c r="A62" s="1031">
        <f>Led!Q97</f>
        <v>15</v>
      </c>
      <c r="B62" s="769"/>
      <c r="C62" s="771">
        <v>3</v>
      </c>
      <c r="D62" s="772"/>
      <c r="E62" s="772"/>
      <c r="F62" s="772"/>
      <c r="G62" s="772"/>
      <c r="H62" s="772"/>
      <c r="I62" s="772"/>
      <c r="J62" s="772"/>
      <c r="K62" s="772"/>
      <c r="L62" s="772"/>
      <c r="M62" s="772"/>
      <c r="N62" s="773">
        <f>SUM(D62:M62)/(10-O$75)</f>
        <v>0</v>
      </c>
      <c r="O62" s="768"/>
    </row>
    <row r="63" spans="1:15" ht="13.5" customHeight="1" thickBot="1" x14ac:dyDescent="0.25">
      <c r="A63" s="1032"/>
      <c r="B63" s="774"/>
      <c r="C63" s="775">
        <v>4</v>
      </c>
      <c r="D63" s="776"/>
      <c r="E63" s="776"/>
      <c r="F63" s="776"/>
      <c r="G63" s="776"/>
      <c r="H63" s="776"/>
      <c r="I63" s="776"/>
      <c r="J63" s="776"/>
      <c r="K63" s="776"/>
      <c r="L63" s="776"/>
      <c r="M63" s="776"/>
      <c r="N63" s="777">
        <f>SUM(D63:M63)/(10-O$76)</f>
        <v>0</v>
      </c>
      <c r="O63" s="768"/>
    </row>
    <row r="64" spans="1:15" x14ac:dyDescent="0.2">
      <c r="B64" s="764" t="str">
        <f>B14</f>
        <v>Kornrost</v>
      </c>
      <c r="C64" s="765">
        <v>1</v>
      </c>
      <c r="D64" s="766"/>
      <c r="E64" s="766"/>
      <c r="F64" s="766"/>
      <c r="G64" s="766"/>
      <c r="H64" s="766"/>
      <c r="I64" s="766"/>
      <c r="J64" s="766"/>
      <c r="K64" s="766"/>
      <c r="L64" s="766"/>
      <c r="M64" s="766"/>
      <c r="N64" s="767">
        <f>SUM(D64:M64)/(10-O$73)</f>
        <v>0</v>
      </c>
      <c r="O64" s="768"/>
    </row>
    <row r="65" spans="1:15" x14ac:dyDescent="0.2">
      <c r="B65" s="769" t="str">
        <f>B15</f>
        <v>PUCCHD</v>
      </c>
      <c r="C65" s="771">
        <v>2</v>
      </c>
      <c r="D65" s="772"/>
      <c r="E65" s="772"/>
      <c r="F65" s="772"/>
      <c r="G65" s="772"/>
      <c r="H65" s="772"/>
      <c r="I65" s="772"/>
      <c r="J65" s="772"/>
      <c r="K65" s="772"/>
      <c r="L65" s="772"/>
      <c r="M65" s="772"/>
      <c r="N65" s="773">
        <f>SUM(D65:M65)/(10-O$74)</f>
        <v>0</v>
      </c>
      <c r="O65" s="768"/>
    </row>
    <row r="66" spans="1:15" x14ac:dyDescent="0.2">
      <c r="B66" s="769"/>
      <c r="C66" s="771">
        <v>3</v>
      </c>
      <c r="D66" s="772"/>
      <c r="E66" s="772"/>
      <c r="F66" s="772"/>
      <c r="G66" s="772"/>
      <c r="H66" s="772"/>
      <c r="I66" s="772"/>
      <c r="J66" s="772"/>
      <c r="K66" s="772"/>
      <c r="L66" s="772"/>
      <c r="M66" s="772"/>
      <c r="N66" s="773">
        <f>SUM(D66:M66)/(10-O$75)</f>
        <v>0</v>
      </c>
      <c r="O66" s="768"/>
    </row>
    <row r="67" spans="1:15" ht="13.5" thickBot="1" x14ac:dyDescent="0.25">
      <c r="B67" s="778"/>
      <c r="C67" s="775">
        <v>4</v>
      </c>
      <c r="D67" s="776"/>
      <c r="E67" s="776"/>
      <c r="F67" s="776"/>
      <c r="G67" s="776"/>
      <c r="H67" s="776"/>
      <c r="I67" s="776"/>
      <c r="J67" s="776"/>
      <c r="K67" s="776"/>
      <c r="L67" s="776"/>
      <c r="M67" s="776"/>
      <c r="N67" s="777">
        <f>SUM(D67:M67)/(10-O$76)</f>
        <v>0</v>
      </c>
      <c r="O67" s="768"/>
    </row>
    <row r="68" spans="1:15" x14ac:dyDescent="0.2">
      <c r="B68" s="764" t="str">
        <f>B18</f>
        <v>Sköldfläcksjuka</v>
      </c>
      <c r="C68" s="771">
        <v>1</v>
      </c>
      <c r="D68" s="766"/>
      <c r="E68" s="772"/>
      <c r="F68" s="772"/>
      <c r="G68" s="772"/>
      <c r="H68" s="772"/>
      <c r="I68" s="772"/>
      <c r="J68" s="772"/>
      <c r="K68" s="772"/>
      <c r="L68" s="772"/>
      <c r="M68" s="772"/>
      <c r="N68" s="767">
        <f>SUM(D68:M68)/(10-O$73)</f>
        <v>0</v>
      </c>
      <c r="O68" s="768"/>
    </row>
    <row r="69" spans="1:15" x14ac:dyDescent="0.2">
      <c r="B69" s="769" t="str">
        <f>B19</f>
        <v>RHYNSE</v>
      </c>
      <c r="C69" s="771">
        <v>2</v>
      </c>
      <c r="D69" s="772"/>
      <c r="E69" s="772"/>
      <c r="F69" s="772"/>
      <c r="G69" s="772"/>
      <c r="H69" s="772"/>
      <c r="I69" s="772"/>
      <c r="J69" s="772"/>
      <c r="K69" s="772"/>
      <c r="L69" s="772"/>
      <c r="M69" s="772"/>
      <c r="N69" s="773">
        <f>SUM(D69:M69)/(10-O$74)</f>
        <v>0</v>
      </c>
      <c r="O69" s="768"/>
    </row>
    <row r="70" spans="1:15" x14ac:dyDescent="0.2">
      <c r="B70" s="769"/>
      <c r="C70" s="771">
        <v>3</v>
      </c>
      <c r="D70" s="772"/>
      <c r="E70" s="772"/>
      <c r="F70" s="772"/>
      <c r="G70" s="772"/>
      <c r="H70" s="772"/>
      <c r="I70" s="772"/>
      <c r="J70" s="772"/>
      <c r="K70" s="772"/>
      <c r="L70" s="772"/>
      <c r="M70" s="772"/>
      <c r="N70" s="773">
        <f>SUM(D70:M70)/(10-O$75)</f>
        <v>0</v>
      </c>
      <c r="O70" s="768"/>
    </row>
    <row r="71" spans="1:15" ht="13.5" thickBot="1" x14ac:dyDescent="0.25">
      <c r="B71" s="778"/>
      <c r="C71" s="775">
        <v>4</v>
      </c>
      <c r="D71" s="776"/>
      <c r="E71" s="776"/>
      <c r="F71" s="776"/>
      <c r="G71" s="776"/>
      <c r="H71" s="776"/>
      <c r="I71" s="776"/>
      <c r="J71" s="776"/>
      <c r="K71" s="776"/>
      <c r="L71" s="776"/>
      <c r="M71" s="776"/>
      <c r="N71" s="777">
        <f>SUM(D71:M71)/(10-O$76)</f>
        <v>0</v>
      </c>
      <c r="O71" s="768"/>
    </row>
    <row r="72" spans="1:15" x14ac:dyDescent="0.2">
      <c r="B72" s="764" t="str">
        <f>B22</f>
        <v>Bladfläcksjuka</v>
      </c>
      <c r="C72" s="771">
        <v>1</v>
      </c>
      <c r="D72" s="766"/>
      <c r="E72" s="772"/>
      <c r="F72" s="772"/>
      <c r="G72" s="772"/>
      <c r="H72" s="772"/>
      <c r="I72" s="772"/>
      <c r="J72" s="772"/>
      <c r="K72" s="772"/>
      <c r="L72" s="772"/>
      <c r="M72" s="772"/>
      <c r="N72" s="767">
        <f>SUM(D72:M72)/(10-O$73)</f>
        <v>0</v>
      </c>
      <c r="O72" s="787">
        <f>COUNTIF(D72:M72,"=V")</f>
        <v>0</v>
      </c>
    </row>
    <row r="73" spans="1:15" x14ac:dyDescent="0.2">
      <c r="B73" s="769" t="str">
        <f>B23</f>
        <v>PYRNTE</v>
      </c>
      <c r="C73" s="771">
        <v>2</v>
      </c>
      <c r="D73" s="772"/>
      <c r="E73" s="772"/>
      <c r="F73" s="772"/>
      <c r="G73" s="772"/>
      <c r="H73" s="772"/>
      <c r="I73" s="772"/>
      <c r="J73" s="772"/>
      <c r="K73" s="772"/>
      <c r="L73" s="772"/>
      <c r="M73" s="772"/>
      <c r="N73" s="773">
        <f>SUM(D73:M73)/(10-O$74)</f>
        <v>0</v>
      </c>
      <c r="O73" s="788">
        <f t="shared" ref="O73:O75" si="2">COUNTIF(D73:M73,"=V")</f>
        <v>0</v>
      </c>
    </row>
    <row r="74" spans="1:15" x14ac:dyDescent="0.2">
      <c r="B74" s="769"/>
      <c r="C74" s="771">
        <v>3</v>
      </c>
      <c r="D74" s="772"/>
      <c r="E74" s="772"/>
      <c r="F74" s="772"/>
      <c r="G74" s="772"/>
      <c r="H74" s="772"/>
      <c r="I74" s="772"/>
      <c r="J74" s="772"/>
      <c r="K74" s="772"/>
      <c r="L74" s="772"/>
      <c r="M74" s="772"/>
      <c r="N74" s="773">
        <f>SUM(D74:M74)/(10-O$75)</f>
        <v>0</v>
      </c>
      <c r="O74" s="788">
        <f t="shared" si="2"/>
        <v>0</v>
      </c>
    </row>
    <row r="75" spans="1:15" ht="13.5" thickBot="1" x14ac:dyDescent="0.25">
      <c r="B75" s="778"/>
      <c r="C75" s="775">
        <v>4</v>
      </c>
      <c r="D75" s="776"/>
      <c r="E75" s="776"/>
      <c r="F75" s="776"/>
      <c r="G75" s="776"/>
      <c r="H75" s="776"/>
      <c r="I75" s="776"/>
      <c r="J75" s="776"/>
      <c r="K75" s="776"/>
      <c r="L75" s="776"/>
      <c r="M75" s="776"/>
      <c r="N75" s="777">
        <f>SUM(D75:M75)/(10-O$76)</f>
        <v>0</v>
      </c>
      <c r="O75" s="789">
        <f t="shared" si="2"/>
        <v>0</v>
      </c>
    </row>
    <row r="76" spans="1:15" x14ac:dyDescent="0.2">
      <c r="B76" s="764" t="str">
        <f>B26</f>
        <v xml:space="preserve">  </v>
      </c>
      <c r="C76" s="771">
        <v>1</v>
      </c>
      <c r="D76" s="772"/>
      <c r="E76" s="772"/>
      <c r="F76" s="772"/>
      <c r="G76" s="772"/>
      <c r="H76" s="772"/>
      <c r="I76" s="772"/>
      <c r="J76" s="772"/>
      <c r="K76" s="772"/>
      <c r="L76" s="772"/>
      <c r="M76" s="772"/>
      <c r="N76" s="767">
        <f>SUM(D76:M76)/(10-O$73)</f>
        <v>0</v>
      </c>
      <c r="O76" s="768"/>
    </row>
    <row r="77" spans="1:15" x14ac:dyDescent="0.2">
      <c r="B77" s="769" t="str">
        <f>B27</f>
        <v xml:space="preserve">  </v>
      </c>
      <c r="C77" s="771">
        <v>2</v>
      </c>
      <c r="D77" s="772"/>
      <c r="E77" s="772"/>
      <c r="F77" s="772"/>
      <c r="G77" s="772"/>
      <c r="H77" s="772"/>
      <c r="I77" s="772"/>
      <c r="J77" s="772"/>
      <c r="K77" s="772"/>
      <c r="L77" s="772"/>
      <c r="M77" s="772"/>
      <c r="N77" s="773">
        <f>SUM(D77:M77)/(10-O$74)</f>
        <v>0</v>
      </c>
      <c r="O77" s="768"/>
    </row>
    <row r="78" spans="1:15" x14ac:dyDescent="0.2">
      <c r="B78" s="769"/>
      <c r="C78" s="771">
        <v>3</v>
      </c>
      <c r="D78" s="772"/>
      <c r="E78" s="772"/>
      <c r="F78" s="772"/>
      <c r="G78" s="772"/>
      <c r="H78" s="772"/>
      <c r="I78" s="772"/>
      <c r="J78" s="772"/>
      <c r="K78" s="772"/>
      <c r="L78" s="772"/>
      <c r="M78" s="772"/>
      <c r="N78" s="773">
        <f>SUM(D78:M78)/(10-O$75)</f>
        <v>0</v>
      </c>
      <c r="O78" s="768"/>
    </row>
    <row r="79" spans="1:15" ht="13.5" thickBot="1" x14ac:dyDescent="0.25">
      <c r="A79" s="782"/>
      <c r="B79" s="783"/>
      <c r="C79" s="784">
        <v>4</v>
      </c>
      <c r="D79" s="785"/>
      <c r="E79" s="785"/>
      <c r="F79" s="785"/>
      <c r="G79" s="785"/>
      <c r="H79" s="785"/>
      <c r="I79" s="785"/>
      <c r="J79" s="785"/>
      <c r="K79" s="785"/>
      <c r="L79" s="785"/>
      <c r="M79" s="785"/>
      <c r="N79" s="777">
        <f>SUM(D79:M79)/(10-O$76)</f>
        <v>0</v>
      </c>
      <c r="O79" s="790"/>
    </row>
    <row r="80" spans="1:15" ht="13.5" thickTop="1" x14ac:dyDescent="0.2">
      <c r="A80" s="763" t="s">
        <v>687</v>
      </c>
      <c r="B80" s="764" t="str">
        <f>B60</f>
        <v>Mjöldagg</v>
      </c>
      <c r="C80" s="765">
        <v>1</v>
      </c>
      <c r="D80" s="766"/>
      <c r="E80" s="766"/>
      <c r="F80" s="766"/>
      <c r="G80" s="766"/>
      <c r="H80" s="766"/>
      <c r="I80" s="766"/>
      <c r="J80" s="766"/>
      <c r="K80" s="766"/>
      <c r="L80" s="766"/>
      <c r="M80" s="766"/>
      <c r="N80" s="767">
        <f>SUM(D80:M80)/(10-O$93)</f>
        <v>0</v>
      </c>
      <c r="O80" s="768"/>
    </row>
    <row r="81" spans="1:15" x14ac:dyDescent="0.2">
      <c r="A81" s="770" t="s">
        <v>662</v>
      </c>
      <c r="B81" s="769" t="str">
        <f>B61</f>
        <v>ERYSGR</v>
      </c>
      <c r="C81" s="771">
        <v>2</v>
      </c>
      <c r="D81" s="772"/>
      <c r="E81" s="772"/>
      <c r="F81" s="772"/>
      <c r="G81" s="772"/>
      <c r="H81" s="772"/>
      <c r="I81" s="772"/>
      <c r="J81" s="772"/>
      <c r="K81" s="772"/>
      <c r="L81" s="772"/>
      <c r="M81" s="772"/>
      <c r="N81" s="773">
        <f>SUM(D81:M81)/(10-O$94)</f>
        <v>0</v>
      </c>
      <c r="O81" s="768"/>
    </row>
    <row r="82" spans="1:15" ht="12.75" customHeight="1" x14ac:dyDescent="0.2">
      <c r="A82" s="1031">
        <f>Led!Q98</f>
        <v>24</v>
      </c>
      <c r="B82" s="769"/>
      <c r="C82" s="771">
        <v>3</v>
      </c>
      <c r="D82" s="772"/>
      <c r="E82" s="772"/>
      <c r="F82" s="772"/>
      <c r="G82" s="772"/>
      <c r="H82" s="772"/>
      <c r="I82" s="772"/>
      <c r="J82" s="772"/>
      <c r="K82" s="772"/>
      <c r="L82" s="772"/>
      <c r="M82" s="772"/>
      <c r="N82" s="773">
        <f>SUM(D82:M82)/(10-O$95)</f>
        <v>0</v>
      </c>
      <c r="O82" s="768"/>
    </row>
    <row r="83" spans="1:15" ht="13.5" customHeight="1" thickBot="1" x14ac:dyDescent="0.25">
      <c r="A83" s="1032"/>
      <c r="B83" s="774"/>
      <c r="C83" s="775">
        <v>4</v>
      </c>
      <c r="D83" s="776"/>
      <c r="E83" s="776"/>
      <c r="F83" s="776"/>
      <c r="G83" s="776"/>
      <c r="H83" s="776"/>
      <c r="I83" s="776"/>
      <c r="J83" s="776"/>
      <c r="K83" s="776"/>
      <c r="L83" s="776"/>
      <c r="M83" s="776"/>
      <c r="N83" s="777">
        <f>SUM(D83:M83)/(10-O$96)</f>
        <v>0</v>
      </c>
      <c r="O83" s="768"/>
    </row>
    <row r="84" spans="1:15" x14ac:dyDescent="0.2">
      <c r="B84" s="764" t="str">
        <f>B64</f>
        <v>Kornrost</v>
      </c>
      <c r="C84" s="765">
        <v>1</v>
      </c>
      <c r="D84" s="766"/>
      <c r="E84" s="766"/>
      <c r="F84" s="766"/>
      <c r="G84" s="766"/>
      <c r="H84" s="766"/>
      <c r="I84" s="766"/>
      <c r="J84" s="766"/>
      <c r="K84" s="766"/>
      <c r="L84" s="766"/>
      <c r="M84" s="766"/>
      <c r="N84" s="767">
        <f>SUM(D84:M84)/(10-O$93)</f>
        <v>0</v>
      </c>
      <c r="O84" s="768"/>
    </row>
    <row r="85" spans="1:15" x14ac:dyDescent="0.2">
      <c r="B85" s="769" t="str">
        <f>B65</f>
        <v>PUCCHD</v>
      </c>
      <c r="C85" s="771">
        <v>2</v>
      </c>
      <c r="D85" s="772"/>
      <c r="E85" s="772"/>
      <c r="F85" s="772"/>
      <c r="G85" s="772"/>
      <c r="H85" s="772"/>
      <c r="I85" s="772"/>
      <c r="J85" s="772"/>
      <c r="K85" s="772"/>
      <c r="L85" s="772"/>
      <c r="M85" s="772"/>
      <c r="N85" s="773">
        <f>SUM(D85:M85)/(10-O$94)</f>
        <v>0</v>
      </c>
      <c r="O85" s="768"/>
    </row>
    <row r="86" spans="1:15" x14ac:dyDescent="0.2">
      <c r="B86" s="769"/>
      <c r="C86" s="771">
        <v>3</v>
      </c>
      <c r="D86" s="772"/>
      <c r="E86" s="772"/>
      <c r="F86" s="772"/>
      <c r="G86" s="772"/>
      <c r="H86" s="772"/>
      <c r="I86" s="772"/>
      <c r="J86" s="772"/>
      <c r="K86" s="772"/>
      <c r="L86" s="772"/>
      <c r="M86" s="772"/>
      <c r="N86" s="773">
        <f>SUM(D86:M86)/(10-O$95)</f>
        <v>0</v>
      </c>
      <c r="O86" s="768"/>
    </row>
    <row r="87" spans="1:15" ht="13.5" thickBot="1" x14ac:dyDescent="0.25">
      <c r="B87" s="778"/>
      <c r="C87" s="775">
        <v>4</v>
      </c>
      <c r="D87" s="776"/>
      <c r="E87" s="776"/>
      <c r="F87" s="776"/>
      <c r="G87" s="776"/>
      <c r="H87" s="776"/>
      <c r="I87" s="776"/>
      <c r="J87" s="776"/>
      <c r="K87" s="776"/>
      <c r="L87" s="776"/>
      <c r="M87" s="776"/>
      <c r="N87" s="777">
        <f>SUM(D87:M87)/(10-O$96)</f>
        <v>0</v>
      </c>
      <c r="O87" s="768"/>
    </row>
    <row r="88" spans="1:15" x14ac:dyDescent="0.2">
      <c r="B88" s="764" t="str">
        <f>B68</f>
        <v>Sköldfläcksjuka</v>
      </c>
      <c r="C88" s="771">
        <v>1</v>
      </c>
      <c r="D88" s="772"/>
      <c r="E88" s="772"/>
      <c r="F88" s="772"/>
      <c r="G88" s="772"/>
      <c r="H88" s="772"/>
      <c r="I88" s="772"/>
      <c r="J88" s="772"/>
      <c r="K88" s="772"/>
      <c r="L88" s="772"/>
      <c r="M88" s="772"/>
      <c r="N88" s="767">
        <f>SUM(D88:M88)/(10-O$93)</f>
        <v>0</v>
      </c>
      <c r="O88" s="768"/>
    </row>
    <row r="89" spans="1:15" x14ac:dyDescent="0.2">
      <c r="B89" s="769" t="str">
        <f>B69</f>
        <v>RHYNSE</v>
      </c>
      <c r="C89" s="771">
        <v>2</v>
      </c>
      <c r="D89" s="772"/>
      <c r="E89" s="772"/>
      <c r="F89" s="772"/>
      <c r="G89" s="772"/>
      <c r="H89" s="772"/>
      <c r="I89" s="772"/>
      <c r="J89" s="772"/>
      <c r="K89" s="772"/>
      <c r="L89" s="772"/>
      <c r="M89" s="772"/>
      <c r="N89" s="773">
        <f>SUM(D89:M89)/(10-O$94)</f>
        <v>0</v>
      </c>
      <c r="O89" s="768"/>
    </row>
    <row r="90" spans="1:15" x14ac:dyDescent="0.2">
      <c r="B90" s="769"/>
      <c r="C90" s="771">
        <v>3</v>
      </c>
      <c r="D90" s="772"/>
      <c r="E90" s="772"/>
      <c r="F90" s="772"/>
      <c r="G90" s="772"/>
      <c r="H90" s="772"/>
      <c r="I90" s="772"/>
      <c r="J90" s="772"/>
      <c r="K90" s="772"/>
      <c r="L90" s="772"/>
      <c r="M90" s="772"/>
      <c r="N90" s="773">
        <f>SUM(D90:M90)/(10-O$95)</f>
        <v>0</v>
      </c>
      <c r="O90" s="768"/>
    </row>
    <row r="91" spans="1:15" ht="13.5" thickBot="1" x14ac:dyDescent="0.25">
      <c r="B91" s="778"/>
      <c r="C91" s="775">
        <v>4</v>
      </c>
      <c r="D91" s="776"/>
      <c r="E91" s="776"/>
      <c r="F91" s="776"/>
      <c r="G91" s="776"/>
      <c r="H91" s="776"/>
      <c r="I91" s="776"/>
      <c r="J91" s="776"/>
      <c r="K91" s="776"/>
      <c r="L91" s="776"/>
      <c r="M91" s="776"/>
      <c r="N91" s="777">
        <f>SUM(D91:M91)/(10-O$96)</f>
        <v>0</v>
      </c>
      <c r="O91" s="768"/>
    </row>
    <row r="92" spans="1:15" x14ac:dyDescent="0.2">
      <c r="B92" s="764" t="str">
        <f>B72</f>
        <v>Bladfläcksjuka</v>
      </c>
      <c r="C92" s="771">
        <v>1</v>
      </c>
      <c r="D92" s="772"/>
      <c r="E92" s="772"/>
      <c r="F92" s="772"/>
      <c r="G92" s="772"/>
      <c r="H92" s="772"/>
      <c r="I92" s="772"/>
      <c r="J92" s="772"/>
      <c r="K92" s="772"/>
      <c r="L92" s="772"/>
      <c r="M92" s="772"/>
      <c r="N92" s="767">
        <f>SUM(D92:M92)/(10-O$93)</f>
        <v>0</v>
      </c>
      <c r="O92" s="787">
        <f>COUNTIF(D92:M92,"=V")</f>
        <v>0</v>
      </c>
    </row>
    <row r="93" spans="1:15" x14ac:dyDescent="0.2">
      <c r="B93" s="769" t="str">
        <f>B73</f>
        <v>PYRNTE</v>
      </c>
      <c r="C93" s="771">
        <v>2</v>
      </c>
      <c r="D93" s="772"/>
      <c r="E93" s="772"/>
      <c r="F93" s="772"/>
      <c r="G93" s="772"/>
      <c r="H93" s="772"/>
      <c r="I93" s="772"/>
      <c r="J93" s="772"/>
      <c r="K93" s="772"/>
      <c r="L93" s="772"/>
      <c r="M93" s="772"/>
      <c r="N93" s="773">
        <f>SUM(D93:M93)/(10-O$94)</f>
        <v>0</v>
      </c>
      <c r="O93" s="788">
        <f t="shared" ref="O93:O95" si="3">COUNTIF(D93:M93,"=V")</f>
        <v>0</v>
      </c>
    </row>
    <row r="94" spans="1:15" x14ac:dyDescent="0.2">
      <c r="B94" s="769"/>
      <c r="C94" s="771">
        <v>3</v>
      </c>
      <c r="D94" s="772"/>
      <c r="E94" s="772"/>
      <c r="F94" s="772"/>
      <c r="G94" s="772"/>
      <c r="H94" s="772"/>
      <c r="I94" s="772"/>
      <c r="J94" s="772"/>
      <c r="K94" s="772"/>
      <c r="L94" s="772"/>
      <c r="M94" s="772"/>
      <c r="N94" s="773">
        <f>SUM(D94:M94)/(10-O$95)</f>
        <v>0</v>
      </c>
      <c r="O94" s="788">
        <f t="shared" si="3"/>
        <v>0</v>
      </c>
    </row>
    <row r="95" spans="1:15" ht="13.5" thickBot="1" x14ac:dyDescent="0.25">
      <c r="B95" s="778"/>
      <c r="C95" s="775">
        <v>4</v>
      </c>
      <c r="D95" s="776"/>
      <c r="E95" s="776"/>
      <c r="F95" s="776"/>
      <c r="G95" s="776"/>
      <c r="H95" s="776"/>
      <c r="I95" s="776"/>
      <c r="J95" s="776"/>
      <c r="K95" s="776"/>
      <c r="L95" s="776"/>
      <c r="M95" s="776"/>
      <c r="N95" s="777">
        <f>SUM(D95:M95)/(10-O$96)</f>
        <v>0</v>
      </c>
      <c r="O95" s="789">
        <f t="shared" si="3"/>
        <v>0</v>
      </c>
    </row>
    <row r="96" spans="1:15" x14ac:dyDescent="0.2">
      <c r="B96" s="764" t="str">
        <f>B76</f>
        <v xml:space="preserve">  </v>
      </c>
      <c r="C96" s="771">
        <v>1</v>
      </c>
      <c r="D96" s="772"/>
      <c r="E96" s="772"/>
      <c r="F96" s="772"/>
      <c r="G96" s="772"/>
      <c r="H96" s="772"/>
      <c r="I96" s="772"/>
      <c r="J96" s="772"/>
      <c r="K96" s="772"/>
      <c r="L96" s="772"/>
      <c r="M96" s="772"/>
      <c r="N96" s="767">
        <f>SUM(D96:M96)/(10-O$93)</f>
        <v>0</v>
      </c>
      <c r="O96" s="768"/>
    </row>
    <row r="97" spans="1:23" x14ac:dyDescent="0.2">
      <c r="B97" s="769" t="str">
        <f>B77</f>
        <v xml:space="preserve">  </v>
      </c>
      <c r="C97" s="771">
        <v>2</v>
      </c>
      <c r="D97" s="772"/>
      <c r="E97" s="772"/>
      <c r="F97" s="772"/>
      <c r="G97" s="772"/>
      <c r="H97" s="772"/>
      <c r="I97" s="772"/>
      <c r="J97" s="772"/>
      <c r="K97" s="772"/>
      <c r="L97" s="772"/>
      <c r="M97" s="772"/>
      <c r="N97" s="773">
        <f>SUM(D97:M97)/(10-O$94)</f>
        <v>0</v>
      </c>
      <c r="O97" s="768"/>
    </row>
    <row r="98" spans="1:23" x14ac:dyDescent="0.2">
      <c r="B98" s="769"/>
      <c r="C98" s="771">
        <v>3</v>
      </c>
      <c r="D98" s="772"/>
      <c r="E98" s="772"/>
      <c r="F98" s="772"/>
      <c r="G98" s="772"/>
      <c r="H98" s="772"/>
      <c r="I98" s="772"/>
      <c r="J98" s="772"/>
      <c r="K98" s="772"/>
      <c r="L98" s="772"/>
      <c r="M98" s="772"/>
      <c r="N98" s="773">
        <f>SUM(D98:M98)/(10-O$95)</f>
        <v>0</v>
      </c>
      <c r="O98" s="768"/>
    </row>
    <row r="99" spans="1:23" ht="13.5" thickBot="1" x14ac:dyDescent="0.25">
      <c r="A99" s="782"/>
      <c r="B99" s="783"/>
      <c r="C99" s="784">
        <v>4</v>
      </c>
      <c r="D99" s="785"/>
      <c r="E99" s="785"/>
      <c r="F99" s="785"/>
      <c r="G99" s="785"/>
      <c r="H99" s="785"/>
      <c r="I99" s="785"/>
      <c r="J99" s="785"/>
      <c r="K99" s="785"/>
      <c r="L99" s="785"/>
      <c r="M99" s="785"/>
      <c r="N99" s="777">
        <f>SUM(D99:M99)/(10-O$96)</f>
        <v>0</v>
      </c>
      <c r="O99" s="768"/>
    </row>
    <row r="100" spans="1:23" ht="8.25" customHeight="1" thickTop="1" x14ac:dyDescent="0.2"/>
    <row r="101" spans="1:23" ht="14.25" customHeight="1" thickBot="1" x14ac:dyDescent="0.3">
      <c r="B101" s="791" t="s">
        <v>688</v>
      </c>
      <c r="C101" s="759"/>
      <c r="D101" s="792" t="s">
        <v>689</v>
      </c>
      <c r="E101" s="759"/>
      <c r="F101" s="793">
        <v>1</v>
      </c>
      <c r="G101" s="794">
        <v>2</v>
      </c>
      <c r="H101" s="794">
        <v>3</v>
      </c>
      <c r="I101" s="794">
        <v>4</v>
      </c>
      <c r="J101" s="795" t="s">
        <v>690</v>
      </c>
      <c r="K101" s="759"/>
    </row>
    <row r="102" spans="1:23" x14ac:dyDescent="0.2">
      <c r="B102" s="757" t="str">
        <f>B10</f>
        <v>Mjöldagg</v>
      </c>
      <c r="C102" s="757" t="str">
        <f>B11</f>
        <v>ERYSGR</v>
      </c>
      <c r="D102" s="757"/>
      <c r="F102" s="796">
        <f>AVERAGE(N10,N30,N60,N80)</f>
        <v>0</v>
      </c>
      <c r="G102" s="796">
        <f>AVERAGE(N11,N31,N61,N81)</f>
        <v>0</v>
      </c>
      <c r="H102" s="796">
        <f>AVERAGE(N12,N32,N62,N82)</f>
        <v>0</v>
      </c>
      <c r="I102" s="796">
        <f>AVERAGE(N13,N33,N63,N83)</f>
        <v>0</v>
      </c>
      <c r="J102" s="797" t="str">
        <f>IF(ISNUMBER(F102),FIXED(F102),"------")</f>
        <v>0.00</v>
      </c>
      <c r="K102" s="797" t="str">
        <f t="shared" ref="K102:M107" si="4">IF(ISNUMBER(G102),FIXED(G102),"------")</f>
        <v>0.00</v>
      </c>
      <c r="L102" s="797" t="str">
        <f t="shared" si="4"/>
        <v>0.00</v>
      </c>
      <c r="M102" s="797" t="str">
        <f t="shared" si="4"/>
        <v>0.00</v>
      </c>
      <c r="N102" s="797" t="str">
        <f>CONCATENATE(J102,"-",K102,"-",L102,"-",M102)</f>
        <v>0.00-0.00-0.00-0.00</v>
      </c>
      <c r="O102" s="768"/>
      <c r="R102" s="753" t="str">
        <f t="shared" ref="R102:R107" si="5">C102</f>
        <v>ERYSGR</v>
      </c>
      <c r="S102" s="753" t="str">
        <f>IF(ISNUMBER(F102),FIXED(F102),"------")</f>
        <v>0.00</v>
      </c>
      <c r="T102" s="753" t="str">
        <f t="shared" ref="T102:V107" si="6">IF(ISNUMBER(G102),FIXED(G102),"------")</f>
        <v>0.00</v>
      </c>
      <c r="U102" s="753" t="str">
        <f t="shared" si="6"/>
        <v>0.00</v>
      </c>
      <c r="V102" s="753" t="str">
        <f t="shared" si="6"/>
        <v>0.00</v>
      </c>
      <c r="W102" s="798" t="str">
        <f>CONCATENATE(S102,"-",T102,"-",U102,"-",V102)</f>
        <v>0.00-0.00-0.00-0.00</v>
      </c>
    </row>
    <row r="103" spans="1:23" x14ac:dyDescent="0.2">
      <c r="B103" s="757" t="str">
        <f>B64</f>
        <v>Kornrost</v>
      </c>
      <c r="C103" s="757" t="str">
        <f>B65</f>
        <v>PUCCHD</v>
      </c>
      <c r="D103" s="757"/>
      <c r="F103" s="796">
        <f>AVERAGE(N14,N34,N64,N84)</f>
        <v>0</v>
      </c>
      <c r="G103" s="796">
        <f>AVERAGE(N15,N35,N65,N85)</f>
        <v>0</v>
      </c>
      <c r="H103" s="796">
        <f>AVERAGE(N16,N36,N66,N86)</f>
        <v>0</v>
      </c>
      <c r="I103" s="796">
        <f>AVERAGE(N17,N37,N67,N87)</f>
        <v>0</v>
      </c>
      <c r="J103" s="797" t="str">
        <f t="shared" ref="J103:J107" si="7">IF(ISNUMBER(F103),FIXED(F103),"------")</f>
        <v>0.00</v>
      </c>
      <c r="K103" s="797" t="str">
        <f t="shared" si="4"/>
        <v>0.00</v>
      </c>
      <c r="L103" s="797" t="str">
        <f t="shared" si="4"/>
        <v>0.00</v>
      </c>
      <c r="M103" s="797" t="str">
        <f t="shared" si="4"/>
        <v>0.00</v>
      </c>
      <c r="N103" s="797" t="str">
        <f t="shared" ref="N103:N107" si="8">CONCATENATE(J103,"-",K103,"-",L103,"-",M103)</f>
        <v>0.00-0.00-0.00-0.00</v>
      </c>
      <c r="O103" s="768"/>
      <c r="R103" s="753" t="str">
        <f t="shared" si="5"/>
        <v>PUCCHD</v>
      </c>
      <c r="S103" s="753" t="str">
        <f t="shared" ref="S103:S107" si="9">IF(ISNUMBER(F103),FIXED(F103),"------")</f>
        <v>0.00</v>
      </c>
      <c r="T103" s="753" t="str">
        <f t="shared" si="6"/>
        <v>0.00</v>
      </c>
      <c r="U103" s="753" t="str">
        <f t="shared" si="6"/>
        <v>0.00</v>
      </c>
      <c r="V103" s="753" t="str">
        <f t="shared" si="6"/>
        <v>0.00</v>
      </c>
      <c r="W103" s="798" t="str">
        <f t="shared" ref="W103:W107" si="10">CONCATENATE(S103,"-",T103,"-",U103,"-",V103)</f>
        <v>0.00-0.00-0.00-0.00</v>
      </c>
    </row>
    <row r="104" spans="1:23" x14ac:dyDescent="0.2">
      <c r="B104" s="757" t="str">
        <f>B68</f>
        <v>Sköldfläcksjuka</v>
      </c>
      <c r="C104" s="757" t="str">
        <f>B69</f>
        <v>RHYNSE</v>
      </c>
      <c r="D104" s="757"/>
      <c r="F104" s="796">
        <f>AVERAGE(N18,N38,N68,N88)</f>
        <v>0</v>
      </c>
      <c r="G104" s="796">
        <f>AVERAGE(N19,N39,N69,N89)</f>
        <v>0</v>
      </c>
      <c r="H104" s="796">
        <f>AVERAGE(N20,N40,N70,N90)</f>
        <v>0</v>
      </c>
      <c r="I104" s="796">
        <f>AVERAGE(N21,N41,N71,N91)</f>
        <v>0</v>
      </c>
      <c r="J104" s="797" t="str">
        <f t="shared" si="7"/>
        <v>0.00</v>
      </c>
      <c r="K104" s="797" t="str">
        <f t="shared" si="4"/>
        <v>0.00</v>
      </c>
      <c r="L104" s="797" t="str">
        <f t="shared" si="4"/>
        <v>0.00</v>
      </c>
      <c r="M104" s="797" t="str">
        <f t="shared" si="4"/>
        <v>0.00</v>
      </c>
      <c r="N104" s="797" t="str">
        <f t="shared" si="8"/>
        <v>0.00-0.00-0.00-0.00</v>
      </c>
      <c r="O104" s="768"/>
      <c r="R104" s="753" t="str">
        <f t="shared" si="5"/>
        <v>RHYNSE</v>
      </c>
      <c r="S104" s="753" t="str">
        <f t="shared" si="9"/>
        <v>0.00</v>
      </c>
      <c r="T104" s="753" t="str">
        <f t="shared" si="6"/>
        <v>0.00</v>
      </c>
      <c r="U104" s="753" t="str">
        <f t="shared" si="6"/>
        <v>0.00</v>
      </c>
      <c r="V104" s="753" t="str">
        <f t="shared" si="6"/>
        <v>0.00</v>
      </c>
      <c r="W104" s="798" t="str">
        <f t="shared" si="10"/>
        <v>0.00-0.00-0.00-0.00</v>
      </c>
    </row>
    <row r="105" spans="1:23" x14ac:dyDescent="0.2">
      <c r="B105" s="757" t="str">
        <f>B72</f>
        <v>Bladfläcksjuka</v>
      </c>
      <c r="C105" s="757" t="str">
        <f>B73</f>
        <v>PYRNTE</v>
      </c>
      <c r="D105" s="757"/>
      <c r="F105" s="796">
        <f>AVERAGE(N22,N42,N72,N92)</f>
        <v>0</v>
      </c>
      <c r="G105" s="796">
        <f>AVERAGE(N23,N43,N73,N93)</f>
        <v>0</v>
      </c>
      <c r="H105" s="796">
        <f>AVERAGE(N24,N44,N74,N94)</f>
        <v>0</v>
      </c>
      <c r="I105" s="796">
        <f>AVERAGE(N25,N45,N75,N95)</f>
        <v>0</v>
      </c>
      <c r="J105" s="797" t="str">
        <f t="shared" si="7"/>
        <v>0.00</v>
      </c>
      <c r="K105" s="797" t="str">
        <f t="shared" si="4"/>
        <v>0.00</v>
      </c>
      <c r="L105" s="797" t="str">
        <f t="shared" si="4"/>
        <v>0.00</v>
      </c>
      <c r="M105" s="797" t="str">
        <f t="shared" si="4"/>
        <v>0.00</v>
      </c>
      <c r="N105" s="797" t="str">
        <f t="shared" si="8"/>
        <v>0.00-0.00-0.00-0.00</v>
      </c>
      <c r="O105" s="768"/>
      <c r="R105" s="753" t="str">
        <f t="shared" si="5"/>
        <v>PYRNTE</v>
      </c>
      <c r="S105" s="753" t="str">
        <f t="shared" si="9"/>
        <v>0.00</v>
      </c>
      <c r="T105" s="753" t="str">
        <f t="shared" si="6"/>
        <v>0.00</v>
      </c>
      <c r="U105" s="753" t="str">
        <f t="shared" si="6"/>
        <v>0.00</v>
      </c>
      <c r="V105" s="753" t="str">
        <f t="shared" si="6"/>
        <v>0.00</v>
      </c>
      <c r="W105" s="798" t="str">
        <f t="shared" si="10"/>
        <v>0.00-0.00-0.00-0.00</v>
      </c>
    </row>
    <row r="106" spans="1:23" x14ac:dyDescent="0.2">
      <c r="B106" s="757" t="str">
        <f>B76</f>
        <v xml:space="preserve">  </v>
      </c>
      <c r="C106" s="757" t="str">
        <f>B77</f>
        <v xml:space="preserve">  </v>
      </c>
      <c r="D106" s="757"/>
      <c r="F106" s="796">
        <f>AVERAGE(N26,N46,N76,N96)</f>
        <v>0</v>
      </c>
      <c r="G106" s="796">
        <f>AVERAGE(N27,N47,N77,N97)</f>
        <v>0</v>
      </c>
      <c r="H106" s="796">
        <f>AVERAGE(N28,N48,N78,N98)</f>
        <v>0</v>
      </c>
      <c r="I106" s="796">
        <f>AVERAGE(N29,N49,N79,N99)</f>
        <v>0</v>
      </c>
      <c r="J106" s="797" t="str">
        <f t="shared" si="7"/>
        <v>0.00</v>
      </c>
      <c r="K106" s="797" t="str">
        <f t="shared" si="4"/>
        <v>0.00</v>
      </c>
      <c r="L106" s="797" t="str">
        <f t="shared" si="4"/>
        <v>0.00</v>
      </c>
      <c r="M106" s="797" t="str">
        <f t="shared" si="4"/>
        <v>0.00</v>
      </c>
      <c r="N106" s="797" t="str">
        <f t="shared" si="8"/>
        <v>0.00-0.00-0.00-0.00</v>
      </c>
      <c r="O106" s="768"/>
      <c r="R106" s="753" t="str">
        <f t="shared" si="5"/>
        <v xml:space="preserve">  </v>
      </c>
      <c r="S106" s="753" t="str">
        <f t="shared" si="9"/>
        <v>0.00</v>
      </c>
      <c r="T106" s="753" t="str">
        <f t="shared" si="6"/>
        <v>0.00</v>
      </c>
      <c r="U106" s="753" t="str">
        <f t="shared" si="6"/>
        <v>0.00</v>
      </c>
      <c r="V106" s="753" t="str">
        <f t="shared" si="6"/>
        <v>0.00</v>
      </c>
      <c r="W106" s="798" t="str">
        <f t="shared" si="10"/>
        <v>0.00-0.00-0.00-0.00</v>
      </c>
    </row>
    <row r="107" spans="1:23" x14ac:dyDescent="0.2">
      <c r="B107" s="757" t="s">
        <v>691</v>
      </c>
      <c r="C107" s="753" t="str">
        <f>B107</f>
        <v>Andel vissna</v>
      </c>
      <c r="F107" s="796">
        <f>10*AVERAGE(O22,O42,O72,O92)</f>
        <v>0</v>
      </c>
      <c r="G107" s="796">
        <f>10*AVERAGE(O23,O43,O73,O93)</f>
        <v>0</v>
      </c>
      <c r="H107" s="796">
        <f>10*AVERAGE(O24,O44,O74,O94)</f>
        <v>0</v>
      </c>
      <c r="I107" s="796">
        <f>10*AVERAGE(O25,O45,O75,O95)</f>
        <v>0</v>
      </c>
      <c r="J107" s="797" t="str">
        <f t="shared" si="7"/>
        <v>0.00</v>
      </c>
      <c r="K107" s="797" t="str">
        <f t="shared" si="4"/>
        <v>0.00</v>
      </c>
      <c r="L107" s="797" t="str">
        <f t="shared" si="4"/>
        <v>0.00</v>
      </c>
      <c r="M107" s="797" t="str">
        <f t="shared" si="4"/>
        <v>0.00</v>
      </c>
      <c r="N107" s="797" t="str">
        <f t="shared" si="8"/>
        <v>0.00-0.00-0.00-0.00</v>
      </c>
      <c r="O107" s="768"/>
      <c r="R107" s="753" t="str">
        <f t="shared" si="5"/>
        <v>Andel vissna</v>
      </c>
      <c r="S107" s="753" t="str">
        <f t="shared" si="9"/>
        <v>0.00</v>
      </c>
      <c r="T107" s="753" t="str">
        <f t="shared" si="6"/>
        <v>0.00</v>
      </c>
      <c r="U107" s="753" t="str">
        <f t="shared" si="6"/>
        <v>0.00</v>
      </c>
      <c r="V107" s="753" t="str">
        <f t="shared" si="6"/>
        <v>0.00</v>
      </c>
      <c r="W107" s="798" t="str">
        <f t="shared" si="10"/>
        <v>0.00-0.00-0.00-0.00</v>
      </c>
    </row>
  </sheetData>
  <sheetProtection sheet="1" objects="1" scenarios="1"/>
  <mergeCells count="29">
    <mergeCell ref="D7:N7"/>
    <mergeCell ref="C3:E3"/>
    <mergeCell ref="A5:B5"/>
    <mergeCell ref="C5:E5"/>
    <mergeCell ref="F5:H5"/>
    <mergeCell ref="I5:L5"/>
    <mergeCell ref="M5:N5"/>
    <mergeCell ref="A6:B6"/>
    <mergeCell ref="C6:E6"/>
    <mergeCell ref="F6:H6"/>
    <mergeCell ref="I6:L6"/>
    <mergeCell ref="M6:N6"/>
    <mergeCell ref="D8:M8"/>
    <mergeCell ref="A12:A13"/>
    <mergeCell ref="A32:A33"/>
    <mergeCell ref="A55:B55"/>
    <mergeCell ref="C55:E55"/>
    <mergeCell ref="F55:H55"/>
    <mergeCell ref="I55:L55"/>
    <mergeCell ref="M55:N55"/>
    <mergeCell ref="D58:M58"/>
    <mergeCell ref="A62:A63"/>
    <mergeCell ref="A82:A83"/>
    <mergeCell ref="A56:B56"/>
    <mergeCell ref="C56:E56"/>
    <mergeCell ref="F56:H56"/>
    <mergeCell ref="I56:L56"/>
    <mergeCell ref="M56:N56"/>
    <mergeCell ref="D57:N57"/>
  </mergeCells>
  <conditionalFormatting sqref="F102:I107">
    <cfRule type="containsErrors" dxfId="38" priority="35">
      <formula>ISERROR(F102)</formula>
    </cfRule>
  </conditionalFormatting>
  <conditionalFormatting sqref="N10:N49">
    <cfRule type="expression" dxfId="37" priority="25">
      <formula>IF(OR(ISNUMBER(D10),ISTEXT(D10)),1,0)</formula>
    </cfRule>
    <cfRule type="containsErrors" dxfId="36" priority="26">
      <formula>ISERROR(N10)</formula>
    </cfRule>
  </conditionalFormatting>
  <conditionalFormatting sqref="O22:O25">
    <cfRule type="expression" dxfId="35" priority="24">
      <formula>IF(OR(ISNUMBER(D22),ISTEXT(D22)),1,0)</formula>
    </cfRule>
  </conditionalFormatting>
  <conditionalFormatting sqref="O42:O45">
    <cfRule type="expression" dxfId="34" priority="23">
      <formula>IF(OR(ISNUMBER(D42),ISTEXT(D42)),1,0)</formula>
    </cfRule>
  </conditionalFormatting>
  <conditionalFormatting sqref="O72:O75">
    <cfRule type="expression" dxfId="33" priority="22">
      <formula>IF(OR(ISNUMBER(D72),ISTEXT(D72)),1,0)</formula>
    </cfRule>
  </conditionalFormatting>
  <conditionalFormatting sqref="O92:O95">
    <cfRule type="expression" dxfId="32" priority="21">
      <formula>IF(OR(ISNUMBER(D92),ISTEXT(D92)),1,0)</formula>
    </cfRule>
  </conditionalFormatting>
  <conditionalFormatting sqref="N60:N63">
    <cfRule type="expression" dxfId="31" priority="19">
      <formula>IF(OR(ISNUMBER(D60),ISTEXT(D60)),1,0)</formula>
    </cfRule>
    <cfRule type="containsErrors" dxfId="30" priority="20">
      <formula>ISERROR(N60)</formula>
    </cfRule>
  </conditionalFormatting>
  <conditionalFormatting sqref="N64:N67">
    <cfRule type="expression" dxfId="29" priority="17">
      <formula>IF(OR(ISNUMBER(D64),ISTEXT(D64)),1,0)</formula>
    </cfRule>
    <cfRule type="containsErrors" dxfId="28" priority="18">
      <formula>ISERROR(N64)</formula>
    </cfRule>
  </conditionalFormatting>
  <conditionalFormatting sqref="N68:N71">
    <cfRule type="expression" dxfId="27" priority="15">
      <formula>IF(OR(ISNUMBER(D68),ISTEXT(D68)),1,0)</formula>
    </cfRule>
    <cfRule type="containsErrors" dxfId="26" priority="16">
      <formula>ISERROR(N68)</formula>
    </cfRule>
  </conditionalFormatting>
  <conditionalFormatting sqref="N72:N75">
    <cfRule type="expression" dxfId="25" priority="13">
      <formula>IF(OR(ISNUMBER(D72),ISTEXT(D72)),1,0)</formula>
    </cfRule>
    <cfRule type="containsErrors" dxfId="24" priority="14">
      <formula>ISERROR(N72)</formula>
    </cfRule>
  </conditionalFormatting>
  <conditionalFormatting sqref="N76:N79">
    <cfRule type="expression" dxfId="23" priority="11">
      <formula>IF(OR(ISNUMBER(D76),ISTEXT(D76)),1,0)</formula>
    </cfRule>
    <cfRule type="containsErrors" dxfId="22" priority="12">
      <formula>ISERROR(N76)</formula>
    </cfRule>
  </conditionalFormatting>
  <conditionalFormatting sqref="N92:N95">
    <cfRule type="expression" dxfId="21" priority="9">
      <formula>IF(OR(ISNUMBER(D92),ISTEXT(D92)),1,0)</formula>
    </cfRule>
    <cfRule type="containsErrors" dxfId="20" priority="10">
      <formula>ISERROR(N92)</formula>
    </cfRule>
  </conditionalFormatting>
  <conditionalFormatting sqref="N80:N83">
    <cfRule type="expression" dxfId="19" priority="7">
      <formula>IF(OR(ISNUMBER(D80),ISTEXT(D80)),1,0)</formula>
    </cfRule>
    <cfRule type="containsErrors" dxfId="18" priority="8">
      <formula>ISERROR(N80)</formula>
    </cfRule>
  </conditionalFormatting>
  <conditionalFormatting sqref="N84:N87">
    <cfRule type="expression" dxfId="17" priority="5">
      <formula>IF(OR(ISNUMBER(D84),ISTEXT(D84)),1,0)</formula>
    </cfRule>
    <cfRule type="containsErrors" dxfId="16" priority="6">
      <formula>ISERROR(N84)</formula>
    </cfRule>
  </conditionalFormatting>
  <conditionalFormatting sqref="N88:N91">
    <cfRule type="expression" dxfId="15" priority="3">
      <formula>IF(OR(ISNUMBER(D88),ISTEXT(D88)),1,0)</formula>
    </cfRule>
    <cfRule type="containsErrors" dxfId="14" priority="4">
      <formula>ISERROR(N88)</formula>
    </cfRule>
  </conditionalFormatting>
  <conditionalFormatting sqref="N96:N99">
    <cfRule type="expression" dxfId="13" priority="1">
      <formula>IF(OR(ISNUMBER(D96),ISTEXT(D96)),1,0)</formula>
    </cfRule>
    <cfRule type="containsErrors" dxfId="12" priority="2">
      <formula>ISERROR(N96)</formula>
    </cfRule>
  </conditionalFormatting>
  <dataValidations count="1">
    <dataValidation type="list" allowBlank="1" showInputMessage="1" showErrorMessage="1" sqref="WVK983043:WVM983043 IY3:JA3 SU3:SW3 ACQ3:ACS3 AMM3:AMO3 AWI3:AWK3 BGE3:BGG3 BQA3:BQC3 BZW3:BZY3 CJS3:CJU3 CTO3:CTQ3 DDK3:DDM3 DNG3:DNI3 DXC3:DXE3 EGY3:EHA3 EQU3:EQW3 FAQ3:FAS3 FKM3:FKO3 FUI3:FUK3 GEE3:GEG3 GOA3:GOC3 GXW3:GXY3 HHS3:HHU3 HRO3:HRQ3 IBK3:IBM3 ILG3:ILI3 IVC3:IVE3 JEY3:JFA3 JOU3:JOW3 JYQ3:JYS3 KIM3:KIO3 KSI3:KSK3 LCE3:LCG3 LMA3:LMC3 LVW3:LVY3 MFS3:MFU3 MPO3:MPQ3 MZK3:MZM3 NJG3:NJI3 NTC3:NTE3 OCY3:ODA3 OMU3:OMW3 OWQ3:OWS3 PGM3:PGO3 PQI3:PQK3 QAE3:QAG3 QKA3:QKC3 QTW3:QTY3 RDS3:RDU3 RNO3:RNQ3 RXK3:RXM3 SHG3:SHI3 SRC3:SRE3 TAY3:TBA3 TKU3:TKW3 TUQ3:TUS3 UEM3:UEO3 UOI3:UOK3 UYE3:UYG3 VIA3:VIC3 VRW3:VRY3 WBS3:WBU3 WLO3:WLQ3 WVK3:WVM3 C65539:E65539 IY65539:JA65539 SU65539:SW65539 ACQ65539:ACS65539 AMM65539:AMO65539 AWI65539:AWK65539 BGE65539:BGG65539 BQA65539:BQC65539 BZW65539:BZY65539 CJS65539:CJU65539 CTO65539:CTQ65539 DDK65539:DDM65539 DNG65539:DNI65539 DXC65539:DXE65539 EGY65539:EHA65539 EQU65539:EQW65539 FAQ65539:FAS65539 FKM65539:FKO65539 FUI65539:FUK65539 GEE65539:GEG65539 GOA65539:GOC65539 GXW65539:GXY65539 HHS65539:HHU65539 HRO65539:HRQ65539 IBK65539:IBM65539 ILG65539:ILI65539 IVC65539:IVE65539 JEY65539:JFA65539 JOU65539:JOW65539 JYQ65539:JYS65539 KIM65539:KIO65539 KSI65539:KSK65539 LCE65539:LCG65539 LMA65539:LMC65539 LVW65539:LVY65539 MFS65539:MFU65539 MPO65539:MPQ65539 MZK65539:MZM65539 NJG65539:NJI65539 NTC65539:NTE65539 OCY65539:ODA65539 OMU65539:OMW65539 OWQ65539:OWS65539 PGM65539:PGO65539 PQI65539:PQK65539 QAE65539:QAG65539 QKA65539:QKC65539 QTW65539:QTY65539 RDS65539:RDU65539 RNO65539:RNQ65539 RXK65539:RXM65539 SHG65539:SHI65539 SRC65539:SRE65539 TAY65539:TBA65539 TKU65539:TKW65539 TUQ65539:TUS65539 UEM65539:UEO65539 UOI65539:UOK65539 UYE65539:UYG65539 VIA65539:VIC65539 VRW65539:VRY65539 WBS65539:WBU65539 WLO65539:WLQ65539 WVK65539:WVM65539 C131075:E131075 IY131075:JA131075 SU131075:SW131075 ACQ131075:ACS131075 AMM131075:AMO131075 AWI131075:AWK131075 BGE131075:BGG131075 BQA131075:BQC131075 BZW131075:BZY131075 CJS131075:CJU131075 CTO131075:CTQ131075 DDK131075:DDM131075 DNG131075:DNI131075 DXC131075:DXE131075 EGY131075:EHA131075 EQU131075:EQW131075 FAQ131075:FAS131075 FKM131075:FKO131075 FUI131075:FUK131075 GEE131075:GEG131075 GOA131075:GOC131075 GXW131075:GXY131075 HHS131075:HHU131075 HRO131075:HRQ131075 IBK131075:IBM131075 ILG131075:ILI131075 IVC131075:IVE131075 JEY131075:JFA131075 JOU131075:JOW131075 JYQ131075:JYS131075 KIM131075:KIO131075 KSI131075:KSK131075 LCE131075:LCG131075 LMA131075:LMC131075 LVW131075:LVY131075 MFS131075:MFU131075 MPO131075:MPQ131075 MZK131075:MZM131075 NJG131075:NJI131075 NTC131075:NTE131075 OCY131075:ODA131075 OMU131075:OMW131075 OWQ131075:OWS131075 PGM131075:PGO131075 PQI131075:PQK131075 QAE131075:QAG131075 QKA131075:QKC131075 QTW131075:QTY131075 RDS131075:RDU131075 RNO131075:RNQ131075 RXK131075:RXM131075 SHG131075:SHI131075 SRC131075:SRE131075 TAY131075:TBA131075 TKU131075:TKW131075 TUQ131075:TUS131075 UEM131075:UEO131075 UOI131075:UOK131075 UYE131075:UYG131075 VIA131075:VIC131075 VRW131075:VRY131075 WBS131075:WBU131075 WLO131075:WLQ131075 WVK131075:WVM131075 C196611:E196611 IY196611:JA196611 SU196611:SW196611 ACQ196611:ACS196611 AMM196611:AMO196611 AWI196611:AWK196611 BGE196611:BGG196611 BQA196611:BQC196611 BZW196611:BZY196611 CJS196611:CJU196611 CTO196611:CTQ196611 DDK196611:DDM196611 DNG196611:DNI196611 DXC196611:DXE196611 EGY196611:EHA196611 EQU196611:EQW196611 FAQ196611:FAS196611 FKM196611:FKO196611 FUI196611:FUK196611 GEE196611:GEG196611 GOA196611:GOC196611 GXW196611:GXY196611 HHS196611:HHU196611 HRO196611:HRQ196611 IBK196611:IBM196611 ILG196611:ILI196611 IVC196611:IVE196611 JEY196611:JFA196611 JOU196611:JOW196611 JYQ196611:JYS196611 KIM196611:KIO196611 KSI196611:KSK196611 LCE196611:LCG196611 LMA196611:LMC196611 LVW196611:LVY196611 MFS196611:MFU196611 MPO196611:MPQ196611 MZK196611:MZM196611 NJG196611:NJI196611 NTC196611:NTE196611 OCY196611:ODA196611 OMU196611:OMW196611 OWQ196611:OWS196611 PGM196611:PGO196611 PQI196611:PQK196611 QAE196611:QAG196611 QKA196611:QKC196611 QTW196611:QTY196611 RDS196611:RDU196611 RNO196611:RNQ196611 RXK196611:RXM196611 SHG196611:SHI196611 SRC196611:SRE196611 TAY196611:TBA196611 TKU196611:TKW196611 TUQ196611:TUS196611 UEM196611:UEO196611 UOI196611:UOK196611 UYE196611:UYG196611 VIA196611:VIC196611 VRW196611:VRY196611 WBS196611:WBU196611 WLO196611:WLQ196611 WVK196611:WVM196611 C262147:E262147 IY262147:JA262147 SU262147:SW262147 ACQ262147:ACS262147 AMM262147:AMO262147 AWI262147:AWK262147 BGE262147:BGG262147 BQA262147:BQC262147 BZW262147:BZY262147 CJS262147:CJU262147 CTO262147:CTQ262147 DDK262147:DDM262147 DNG262147:DNI262147 DXC262147:DXE262147 EGY262147:EHA262147 EQU262147:EQW262147 FAQ262147:FAS262147 FKM262147:FKO262147 FUI262147:FUK262147 GEE262147:GEG262147 GOA262147:GOC262147 GXW262147:GXY262147 HHS262147:HHU262147 HRO262147:HRQ262147 IBK262147:IBM262147 ILG262147:ILI262147 IVC262147:IVE262147 JEY262147:JFA262147 JOU262147:JOW262147 JYQ262147:JYS262147 KIM262147:KIO262147 KSI262147:KSK262147 LCE262147:LCG262147 LMA262147:LMC262147 LVW262147:LVY262147 MFS262147:MFU262147 MPO262147:MPQ262147 MZK262147:MZM262147 NJG262147:NJI262147 NTC262147:NTE262147 OCY262147:ODA262147 OMU262147:OMW262147 OWQ262147:OWS262147 PGM262147:PGO262147 PQI262147:PQK262147 QAE262147:QAG262147 QKA262147:QKC262147 QTW262147:QTY262147 RDS262147:RDU262147 RNO262147:RNQ262147 RXK262147:RXM262147 SHG262147:SHI262147 SRC262147:SRE262147 TAY262147:TBA262147 TKU262147:TKW262147 TUQ262147:TUS262147 UEM262147:UEO262147 UOI262147:UOK262147 UYE262147:UYG262147 VIA262147:VIC262147 VRW262147:VRY262147 WBS262147:WBU262147 WLO262147:WLQ262147 WVK262147:WVM262147 C327683:E327683 IY327683:JA327683 SU327683:SW327683 ACQ327683:ACS327683 AMM327683:AMO327683 AWI327683:AWK327683 BGE327683:BGG327683 BQA327683:BQC327683 BZW327683:BZY327683 CJS327683:CJU327683 CTO327683:CTQ327683 DDK327683:DDM327683 DNG327683:DNI327683 DXC327683:DXE327683 EGY327683:EHA327683 EQU327683:EQW327683 FAQ327683:FAS327683 FKM327683:FKO327683 FUI327683:FUK327683 GEE327683:GEG327683 GOA327683:GOC327683 GXW327683:GXY327683 HHS327683:HHU327683 HRO327683:HRQ327683 IBK327683:IBM327683 ILG327683:ILI327683 IVC327683:IVE327683 JEY327683:JFA327683 JOU327683:JOW327683 JYQ327683:JYS327683 KIM327683:KIO327683 KSI327683:KSK327683 LCE327683:LCG327683 LMA327683:LMC327683 LVW327683:LVY327683 MFS327683:MFU327683 MPO327683:MPQ327683 MZK327683:MZM327683 NJG327683:NJI327683 NTC327683:NTE327683 OCY327683:ODA327683 OMU327683:OMW327683 OWQ327683:OWS327683 PGM327683:PGO327683 PQI327683:PQK327683 QAE327683:QAG327683 QKA327683:QKC327683 QTW327683:QTY327683 RDS327683:RDU327683 RNO327683:RNQ327683 RXK327683:RXM327683 SHG327683:SHI327683 SRC327683:SRE327683 TAY327683:TBA327683 TKU327683:TKW327683 TUQ327683:TUS327683 UEM327683:UEO327683 UOI327683:UOK327683 UYE327683:UYG327683 VIA327683:VIC327683 VRW327683:VRY327683 WBS327683:WBU327683 WLO327683:WLQ327683 WVK327683:WVM327683 C393219:E393219 IY393219:JA393219 SU393219:SW393219 ACQ393219:ACS393219 AMM393219:AMO393219 AWI393219:AWK393219 BGE393219:BGG393219 BQA393219:BQC393219 BZW393219:BZY393219 CJS393219:CJU393219 CTO393219:CTQ393219 DDK393219:DDM393219 DNG393219:DNI393219 DXC393219:DXE393219 EGY393219:EHA393219 EQU393219:EQW393219 FAQ393219:FAS393219 FKM393219:FKO393219 FUI393219:FUK393219 GEE393219:GEG393219 GOA393219:GOC393219 GXW393219:GXY393219 HHS393219:HHU393219 HRO393219:HRQ393219 IBK393219:IBM393219 ILG393219:ILI393219 IVC393219:IVE393219 JEY393219:JFA393219 JOU393219:JOW393219 JYQ393219:JYS393219 KIM393219:KIO393219 KSI393219:KSK393219 LCE393219:LCG393219 LMA393219:LMC393219 LVW393219:LVY393219 MFS393219:MFU393219 MPO393219:MPQ393219 MZK393219:MZM393219 NJG393219:NJI393219 NTC393219:NTE393219 OCY393219:ODA393219 OMU393219:OMW393219 OWQ393219:OWS393219 PGM393219:PGO393219 PQI393219:PQK393219 QAE393219:QAG393219 QKA393219:QKC393219 QTW393219:QTY393219 RDS393219:RDU393219 RNO393219:RNQ393219 RXK393219:RXM393219 SHG393219:SHI393219 SRC393219:SRE393219 TAY393219:TBA393219 TKU393219:TKW393219 TUQ393219:TUS393219 UEM393219:UEO393219 UOI393219:UOK393219 UYE393219:UYG393219 VIA393219:VIC393219 VRW393219:VRY393219 WBS393219:WBU393219 WLO393219:WLQ393219 WVK393219:WVM393219 C458755:E458755 IY458755:JA458755 SU458755:SW458755 ACQ458755:ACS458755 AMM458755:AMO458755 AWI458755:AWK458755 BGE458755:BGG458755 BQA458755:BQC458755 BZW458755:BZY458755 CJS458755:CJU458755 CTO458755:CTQ458755 DDK458755:DDM458755 DNG458755:DNI458755 DXC458755:DXE458755 EGY458755:EHA458755 EQU458755:EQW458755 FAQ458755:FAS458755 FKM458755:FKO458755 FUI458755:FUK458755 GEE458755:GEG458755 GOA458755:GOC458755 GXW458755:GXY458755 HHS458755:HHU458755 HRO458755:HRQ458755 IBK458755:IBM458755 ILG458755:ILI458755 IVC458755:IVE458755 JEY458755:JFA458755 JOU458755:JOW458755 JYQ458755:JYS458755 KIM458755:KIO458755 KSI458755:KSK458755 LCE458755:LCG458755 LMA458755:LMC458755 LVW458755:LVY458755 MFS458755:MFU458755 MPO458755:MPQ458755 MZK458755:MZM458755 NJG458755:NJI458755 NTC458755:NTE458755 OCY458755:ODA458755 OMU458755:OMW458755 OWQ458755:OWS458755 PGM458755:PGO458755 PQI458755:PQK458755 QAE458755:QAG458755 QKA458755:QKC458755 QTW458755:QTY458755 RDS458755:RDU458755 RNO458755:RNQ458755 RXK458755:RXM458755 SHG458755:SHI458755 SRC458755:SRE458755 TAY458755:TBA458755 TKU458755:TKW458755 TUQ458755:TUS458755 UEM458755:UEO458755 UOI458755:UOK458755 UYE458755:UYG458755 VIA458755:VIC458755 VRW458755:VRY458755 WBS458755:WBU458755 WLO458755:WLQ458755 WVK458755:WVM458755 C524291:E524291 IY524291:JA524291 SU524291:SW524291 ACQ524291:ACS524291 AMM524291:AMO524291 AWI524291:AWK524291 BGE524291:BGG524291 BQA524291:BQC524291 BZW524291:BZY524291 CJS524291:CJU524291 CTO524291:CTQ524291 DDK524291:DDM524291 DNG524291:DNI524291 DXC524291:DXE524291 EGY524291:EHA524291 EQU524291:EQW524291 FAQ524291:FAS524291 FKM524291:FKO524291 FUI524291:FUK524291 GEE524291:GEG524291 GOA524291:GOC524291 GXW524291:GXY524291 HHS524291:HHU524291 HRO524291:HRQ524291 IBK524291:IBM524291 ILG524291:ILI524291 IVC524291:IVE524291 JEY524291:JFA524291 JOU524291:JOW524291 JYQ524291:JYS524291 KIM524291:KIO524291 KSI524291:KSK524291 LCE524291:LCG524291 LMA524291:LMC524291 LVW524291:LVY524291 MFS524291:MFU524291 MPO524291:MPQ524291 MZK524291:MZM524291 NJG524291:NJI524291 NTC524291:NTE524291 OCY524291:ODA524291 OMU524291:OMW524291 OWQ524291:OWS524291 PGM524291:PGO524291 PQI524291:PQK524291 QAE524291:QAG524291 QKA524291:QKC524291 QTW524291:QTY524291 RDS524291:RDU524291 RNO524291:RNQ524291 RXK524291:RXM524291 SHG524291:SHI524291 SRC524291:SRE524291 TAY524291:TBA524291 TKU524291:TKW524291 TUQ524291:TUS524291 UEM524291:UEO524291 UOI524291:UOK524291 UYE524291:UYG524291 VIA524291:VIC524291 VRW524291:VRY524291 WBS524291:WBU524291 WLO524291:WLQ524291 WVK524291:WVM524291 C589827:E589827 IY589827:JA589827 SU589827:SW589827 ACQ589827:ACS589827 AMM589827:AMO589827 AWI589827:AWK589827 BGE589827:BGG589827 BQA589827:BQC589827 BZW589827:BZY589827 CJS589827:CJU589827 CTO589827:CTQ589827 DDK589827:DDM589827 DNG589827:DNI589827 DXC589827:DXE589827 EGY589827:EHA589827 EQU589827:EQW589827 FAQ589827:FAS589827 FKM589827:FKO589827 FUI589827:FUK589827 GEE589827:GEG589827 GOA589827:GOC589827 GXW589827:GXY589827 HHS589827:HHU589827 HRO589827:HRQ589827 IBK589827:IBM589827 ILG589827:ILI589827 IVC589827:IVE589827 JEY589827:JFA589827 JOU589827:JOW589827 JYQ589827:JYS589827 KIM589827:KIO589827 KSI589827:KSK589827 LCE589827:LCG589827 LMA589827:LMC589827 LVW589827:LVY589827 MFS589827:MFU589827 MPO589827:MPQ589827 MZK589827:MZM589827 NJG589827:NJI589827 NTC589827:NTE589827 OCY589827:ODA589827 OMU589827:OMW589827 OWQ589827:OWS589827 PGM589827:PGO589827 PQI589827:PQK589827 QAE589827:QAG589827 QKA589827:QKC589827 QTW589827:QTY589827 RDS589827:RDU589827 RNO589827:RNQ589827 RXK589827:RXM589827 SHG589827:SHI589827 SRC589827:SRE589827 TAY589827:TBA589827 TKU589827:TKW589827 TUQ589827:TUS589827 UEM589827:UEO589827 UOI589827:UOK589827 UYE589827:UYG589827 VIA589827:VIC589827 VRW589827:VRY589827 WBS589827:WBU589827 WLO589827:WLQ589827 WVK589827:WVM589827 C655363:E655363 IY655363:JA655363 SU655363:SW655363 ACQ655363:ACS655363 AMM655363:AMO655363 AWI655363:AWK655363 BGE655363:BGG655363 BQA655363:BQC655363 BZW655363:BZY655363 CJS655363:CJU655363 CTO655363:CTQ655363 DDK655363:DDM655363 DNG655363:DNI655363 DXC655363:DXE655363 EGY655363:EHA655363 EQU655363:EQW655363 FAQ655363:FAS655363 FKM655363:FKO655363 FUI655363:FUK655363 GEE655363:GEG655363 GOA655363:GOC655363 GXW655363:GXY655363 HHS655363:HHU655363 HRO655363:HRQ655363 IBK655363:IBM655363 ILG655363:ILI655363 IVC655363:IVE655363 JEY655363:JFA655363 JOU655363:JOW655363 JYQ655363:JYS655363 KIM655363:KIO655363 KSI655363:KSK655363 LCE655363:LCG655363 LMA655363:LMC655363 LVW655363:LVY655363 MFS655363:MFU655363 MPO655363:MPQ655363 MZK655363:MZM655363 NJG655363:NJI655363 NTC655363:NTE655363 OCY655363:ODA655363 OMU655363:OMW655363 OWQ655363:OWS655363 PGM655363:PGO655363 PQI655363:PQK655363 QAE655363:QAG655363 QKA655363:QKC655363 QTW655363:QTY655363 RDS655363:RDU655363 RNO655363:RNQ655363 RXK655363:RXM655363 SHG655363:SHI655363 SRC655363:SRE655363 TAY655363:TBA655363 TKU655363:TKW655363 TUQ655363:TUS655363 UEM655363:UEO655363 UOI655363:UOK655363 UYE655363:UYG655363 VIA655363:VIC655363 VRW655363:VRY655363 WBS655363:WBU655363 WLO655363:WLQ655363 WVK655363:WVM655363 C720899:E720899 IY720899:JA720899 SU720899:SW720899 ACQ720899:ACS720899 AMM720899:AMO720899 AWI720899:AWK720899 BGE720899:BGG720899 BQA720899:BQC720899 BZW720899:BZY720899 CJS720899:CJU720899 CTO720899:CTQ720899 DDK720899:DDM720899 DNG720899:DNI720899 DXC720899:DXE720899 EGY720899:EHA720899 EQU720899:EQW720899 FAQ720899:FAS720899 FKM720899:FKO720899 FUI720899:FUK720899 GEE720899:GEG720899 GOA720899:GOC720899 GXW720899:GXY720899 HHS720899:HHU720899 HRO720899:HRQ720899 IBK720899:IBM720899 ILG720899:ILI720899 IVC720899:IVE720899 JEY720899:JFA720899 JOU720899:JOW720899 JYQ720899:JYS720899 KIM720899:KIO720899 KSI720899:KSK720899 LCE720899:LCG720899 LMA720899:LMC720899 LVW720899:LVY720899 MFS720899:MFU720899 MPO720899:MPQ720899 MZK720899:MZM720899 NJG720899:NJI720899 NTC720899:NTE720899 OCY720899:ODA720899 OMU720899:OMW720899 OWQ720899:OWS720899 PGM720899:PGO720899 PQI720899:PQK720899 QAE720899:QAG720899 QKA720899:QKC720899 QTW720899:QTY720899 RDS720899:RDU720899 RNO720899:RNQ720899 RXK720899:RXM720899 SHG720899:SHI720899 SRC720899:SRE720899 TAY720899:TBA720899 TKU720899:TKW720899 TUQ720899:TUS720899 UEM720899:UEO720899 UOI720899:UOK720899 UYE720899:UYG720899 VIA720899:VIC720899 VRW720899:VRY720899 WBS720899:WBU720899 WLO720899:WLQ720899 WVK720899:WVM720899 C786435:E786435 IY786435:JA786435 SU786435:SW786435 ACQ786435:ACS786435 AMM786435:AMO786435 AWI786435:AWK786435 BGE786435:BGG786435 BQA786435:BQC786435 BZW786435:BZY786435 CJS786435:CJU786435 CTO786435:CTQ786435 DDK786435:DDM786435 DNG786435:DNI786435 DXC786435:DXE786435 EGY786435:EHA786435 EQU786435:EQW786435 FAQ786435:FAS786435 FKM786435:FKO786435 FUI786435:FUK786435 GEE786435:GEG786435 GOA786435:GOC786435 GXW786435:GXY786435 HHS786435:HHU786435 HRO786435:HRQ786435 IBK786435:IBM786435 ILG786435:ILI786435 IVC786435:IVE786435 JEY786435:JFA786435 JOU786435:JOW786435 JYQ786435:JYS786435 KIM786435:KIO786435 KSI786435:KSK786435 LCE786435:LCG786435 LMA786435:LMC786435 LVW786435:LVY786435 MFS786435:MFU786435 MPO786435:MPQ786435 MZK786435:MZM786435 NJG786435:NJI786435 NTC786435:NTE786435 OCY786435:ODA786435 OMU786435:OMW786435 OWQ786435:OWS786435 PGM786435:PGO786435 PQI786435:PQK786435 QAE786435:QAG786435 QKA786435:QKC786435 QTW786435:QTY786435 RDS786435:RDU786435 RNO786435:RNQ786435 RXK786435:RXM786435 SHG786435:SHI786435 SRC786435:SRE786435 TAY786435:TBA786435 TKU786435:TKW786435 TUQ786435:TUS786435 UEM786435:UEO786435 UOI786435:UOK786435 UYE786435:UYG786435 VIA786435:VIC786435 VRW786435:VRY786435 WBS786435:WBU786435 WLO786435:WLQ786435 WVK786435:WVM786435 C851971:E851971 IY851971:JA851971 SU851971:SW851971 ACQ851971:ACS851971 AMM851971:AMO851971 AWI851971:AWK851971 BGE851971:BGG851971 BQA851971:BQC851971 BZW851971:BZY851971 CJS851971:CJU851971 CTO851971:CTQ851971 DDK851971:DDM851971 DNG851971:DNI851971 DXC851971:DXE851971 EGY851971:EHA851971 EQU851971:EQW851971 FAQ851971:FAS851971 FKM851971:FKO851971 FUI851971:FUK851971 GEE851971:GEG851971 GOA851971:GOC851971 GXW851971:GXY851971 HHS851971:HHU851971 HRO851971:HRQ851971 IBK851971:IBM851971 ILG851971:ILI851971 IVC851971:IVE851971 JEY851971:JFA851971 JOU851971:JOW851971 JYQ851971:JYS851971 KIM851971:KIO851971 KSI851971:KSK851971 LCE851971:LCG851971 LMA851971:LMC851971 LVW851971:LVY851971 MFS851971:MFU851971 MPO851971:MPQ851971 MZK851971:MZM851971 NJG851971:NJI851971 NTC851971:NTE851971 OCY851971:ODA851971 OMU851971:OMW851971 OWQ851971:OWS851971 PGM851971:PGO851971 PQI851971:PQK851971 QAE851971:QAG851971 QKA851971:QKC851971 QTW851971:QTY851971 RDS851971:RDU851971 RNO851971:RNQ851971 RXK851971:RXM851971 SHG851971:SHI851971 SRC851971:SRE851971 TAY851971:TBA851971 TKU851971:TKW851971 TUQ851971:TUS851971 UEM851971:UEO851971 UOI851971:UOK851971 UYE851971:UYG851971 VIA851971:VIC851971 VRW851971:VRY851971 WBS851971:WBU851971 WLO851971:WLQ851971 WVK851971:WVM851971 C917507:E917507 IY917507:JA917507 SU917507:SW917507 ACQ917507:ACS917507 AMM917507:AMO917507 AWI917507:AWK917507 BGE917507:BGG917507 BQA917507:BQC917507 BZW917507:BZY917507 CJS917507:CJU917507 CTO917507:CTQ917507 DDK917507:DDM917507 DNG917507:DNI917507 DXC917507:DXE917507 EGY917507:EHA917507 EQU917507:EQW917507 FAQ917507:FAS917507 FKM917507:FKO917507 FUI917507:FUK917507 GEE917507:GEG917507 GOA917507:GOC917507 GXW917507:GXY917507 HHS917507:HHU917507 HRO917507:HRQ917507 IBK917507:IBM917507 ILG917507:ILI917507 IVC917507:IVE917507 JEY917507:JFA917507 JOU917507:JOW917507 JYQ917507:JYS917507 KIM917507:KIO917507 KSI917507:KSK917507 LCE917507:LCG917507 LMA917507:LMC917507 LVW917507:LVY917507 MFS917507:MFU917507 MPO917507:MPQ917507 MZK917507:MZM917507 NJG917507:NJI917507 NTC917507:NTE917507 OCY917507:ODA917507 OMU917507:OMW917507 OWQ917507:OWS917507 PGM917507:PGO917507 PQI917507:PQK917507 QAE917507:QAG917507 QKA917507:QKC917507 QTW917507:QTY917507 RDS917507:RDU917507 RNO917507:RNQ917507 RXK917507:RXM917507 SHG917507:SHI917507 SRC917507:SRE917507 TAY917507:TBA917507 TKU917507:TKW917507 TUQ917507:TUS917507 UEM917507:UEO917507 UOI917507:UOK917507 UYE917507:UYG917507 VIA917507:VIC917507 VRW917507:VRY917507 WBS917507:WBU917507 WLO917507:WLQ917507 WVK917507:WVM917507 C983043:E983043 IY983043:JA983043 SU983043:SW983043 ACQ983043:ACS983043 AMM983043:AMO983043 AWI983043:AWK983043 BGE983043:BGG983043 BQA983043:BQC983043 BZW983043:BZY983043 CJS983043:CJU983043 CTO983043:CTQ983043 DDK983043:DDM983043 DNG983043:DNI983043 DXC983043:DXE983043 EGY983043:EHA983043 EQU983043:EQW983043 FAQ983043:FAS983043 FKM983043:FKO983043 FUI983043:FUK983043 GEE983043:GEG983043 GOA983043:GOC983043 GXW983043:GXY983043 HHS983043:HHU983043 HRO983043:HRQ983043 IBK983043:IBM983043 ILG983043:ILI983043 IVC983043:IVE983043 JEY983043:JFA983043 JOU983043:JOW983043 JYQ983043:JYS983043 KIM983043:KIO983043 KSI983043:KSK983043 LCE983043:LCG983043 LMA983043:LMC983043 LVW983043:LVY983043 MFS983043:MFU983043 MPO983043:MPQ983043 MZK983043:MZM983043 NJG983043:NJI983043 NTC983043:NTE983043 OCY983043:ODA983043 OMU983043:OMW983043 OWQ983043:OWS983043 PGM983043:PGO983043 PQI983043:PQK983043 QAE983043:QAG983043 QKA983043:QKC983043 QTW983043:QTY983043 RDS983043:RDU983043 RNO983043:RNQ983043 RXK983043:RXM983043 SHG983043:SHI983043 SRC983043:SRE983043 TAY983043:TBA983043 TKU983043:TKW983043 TUQ983043:TUS983043 UEM983043:UEO983043 UOI983043:UOK983043 UYE983043:UYG983043 VIA983043:VIC983043 VRW983043:VRY983043 WBS983043:WBU983043 WLO983043:WLQ983043">
      <formula1>$Q$2:$Q$8</formula1>
    </dataValidation>
  </dataValidations>
  <pageMargins left="0.6692913385826772" right="0.70866141732283472" top="0.98425196850393704" bottom="0.59055118110236227" header="0.51181102362204722" footer="0.35433070866141736"/>
  <pageSetup paperSize="9" orientation="portrait" r:id="rId1"/>
  <headerFooter alignWithMargins="0">
    <oddHeader>&amp;L&amp;F</oddHeader>
  </headerFooter>
  <rowBreaks count="1" manualBreakCount="1">
    <brk id="5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U164"/>
  <sheetViews>
    <sheetView zoomScale="125" zoomScaleNormal="125" workbookViewId="0">
      <selection activeCell="E6" sqref="E6"/>
    </sheetView>
  </sheetViews>
  <sheetFormatPr defaultRowHeight="12.75" x14ac:dyDescent="0.2"/>
  <cols>
    <col min="1" max="1" width="3.7109375" style="680" customWidth="1"/>
    <col min="2" max="2" width="2.42578125" style="680" customWidth="1"/>
    <col min="3" max="3" width="4.5703125" style="680" customWidth="1"/>
    <col min="4" max="4" width="4.5703125" style="680" hidden="1" customWidth="1"/>
    <col min="5" max="5" width="11" style="680" customWidth="1"/>
    <col min="6" max="11" width="7.7109375" style="680" customWidth="1"/>
    <col min="12" max="12" width="6.5703125" style="680" customWidth="1"/>
    <col min="13" max="13" width="10.85546875" style="680" customWidth="1"/>
    <col min="14" max="14" width="9.140625" style="680" hidden="1" customWidth="1"/>
    <col min="15" max="15" width="0" style="680" hidden="1" customWidth="1"/>
    <col min="16" max="16" width="6" style="727" hidden="1" customWidth="1"/>
    <col min="17" max="21" width="9.140625" style="680" hidden="1" customWidth="1"/>
    <col min="22" max="255" width="9.140625" style="680"/>
    <col min="256" max="256" width="3.7109375" style="680" customWidth="1"/>
    <col min="257" max="257" width="2.42578125" style="680" customWidth="1"/>
    <col min="258" max="258" width="2.85546875" style="680" customWidth="1"/>
    <col min="259" max="267" width="7.7109375" style="680" customWidth="1"/>
    <col min="268" max="268" width="6.5703125" style="680" customWidth="1"/>
    <col min="269" max="269" width="10.85546875" style="680" customWidth="1"/>
    <col min="270" max="270" width="0" style="680" hidden="1" customWidth="1"/>
    <col min="271" max="511" width="9.140625" style="680"/>
    <col min="512" max="512" width="3.7109375" style="680" customWidth="1"/>
    <col min="513" max="513" width="2.42578125" style="680" customWidth="1"/>
    <col min="514" max="514" width="2.85546875" style="680" customWidth="1"/>
    <col min="515" max="523" width="7.7109375" style="680" customWidth="1"/>
    <col min="524" max="524" width="6.5703125" style="680" customWidth="1"/>
    <col min="525" max="525" width="10.85546875" style="680" customWidth="1"/>
    <col min="526" max="526" width="0" style="680" hidden="1" customWidth="1"/>
    <col min="527" max="767" width="9.140625" style="680"/>
    <col min="768" max="768" width="3.7109375" style="680" customWidth="1"/>
    <col min="769" max="769" width="2.42578125" style="680" customWidth="1"/>
    <col min="770" max="770" width="2.85546875" style="680" customWidth="1"/>
    <col min="771" max="779" width="7.7109375" style="680" customWidth="1"/>
    <col min="780" max="780" width="6.5703125" style="680" customWidth="1"/>
    <col min="781" max="781" width="10.85546875" style="680" customWidth="1"/>
    <col min="782" max="782" width="0" style="680" hidden="1" customWidth="1"/>
    <col min="783" max="1023" width="9.140625" style="680"/>
    <col min="1024" max="1024" width="3.7109375" style="680" customWidth="1"/>
    <col min="1025" max="1025" width="2.42578125" style="680" customWidth="1"/>
    <col min="1026" max="1026" width="2.85546875" style="680" customWidth="1"/>
    <col min="1027" max="1035" width="7.7109375" style="680" customWidth="1"/>
    <col min="1036" max="1036" width="6.5703125" style="680" customWidth="1"/>
    <col min="1037" max="1037" width="10.85546875" style="680" customWidth="1"/>
    <col min="1038" max="1038" width="0" style="680" hidden="1" customWidth="1"/>
    <col min="1039" max="1279" width="9.140625" style="680"/>
    <col min="1280" max="1280" width="3.7109375" style="680" customWidth="1"/>
    <col min="1281" max="1281" width="2.42578125" style="680" customWidth="1"/>
    <col min="1282" max="1282" width="2.85546875" style="680" customWidth="1"/>
    <col min="1283" max="1291" width="7.7109375" style="680" customWidth="1"/>
    <col min="1292" max="1292" width="6.5703125" style="680" customWidth="1"/>
    <col min="1293" max="1293" width="10.85546875" style="680" customWidth="1"/>
    <col min="1294" max="1294" width="0" style="680" hidden="1" customWidth="1"/>
    <col min="1295" max="1535" width="9.140625" style="680"/>
    <col min="1536" max="1536" width="3.7109375" style="680" customWidth="1"/>
    <col min="1537" max="1537" width="2.42578125" style="680" customWidth="1"/>
    <col min="1538" max="1538" width="2.85546875" style="680" customWidth="1"/>
    <col min="1539" max="1547" width="7.7109375" style="680" customWidth="1"/>
    <col min="1548" max="1548" width="6.5703125" style="680" customWidth="1"/>
    <col min="1549" max="1549" width="10.85546875" style="680" customWidth="1"/>
    <col min="1550" max="1550" width="0" style="680" hidden="1" customWidth="1"/>
    <col min="1551" max="1791" width="9.140625" style="680"/>
    <col min="1792" max="1792" width="3.7109375" style="680" customWidth="1"/>
    <col min="1793" max="1793" width="2.42578125" style="680" customWidth="1"/>
    <col min="1794" max="1794" width="2.85546875" style="680" customWidth="1"/>
    <col min="1795" max="1803" width="7.7109375" style="680" customWidth="1"/>
    <col min="1804" max="1804" width="6.5703125" style="680" customWidth="1"/>
    <col min="1805" max="1805" width="10.85546875" style="680" customWidth="1"/>
    <col min="1806" max="1806" width="0" style="680" hidden="1" customWidth="1"/>
    <col min="1807" max="2047" width="9.140625" style="680"/>
    <col min="2048" max="2048" width="3.7109375" style="680" customWidth="1"/>
    <col min="2049" max="2049" width="2.42578125" style="680" customWidth="1"/>
    <col min="2050" max="2050" width="2.85546875" style="680" customWidth="1"/>
    <col min="2051" max="2059" width="7.7109375" style="680" customWidth="1"/>
    <col min="2060" max="2060" width="6.5703125" style="680" customWidth="1"/>
    <col min="2061" max="2061" width="10.85546875" style="680" customWidth="1"/>
    <col min="2062" max="2062" width="0" style="680" hidden="1" customWidth="1"/>
    <col min="2063" max="2303" width="9.140625" style="680"/>
    <col min="2304" max="2304" width="3.7109375" style="680" customWidth="1"/>
    <col min="2305" max="2305" width="2.42578125" style="680" customWidth="1"/>
    <col min="2306" max="2306" width="2.85546875" style="680" customWidth="1"/>
    <col min="2307" max="2315" width="7.7109375" style="680" customWidth="1"/>
    <col min="2316" max="2316" width="6.5703125" style="680" customWidth="1"/>
    <col min="2317" max="2317" width="10.85546875" style="680" customWidth="1"/>
    <col min="2318" max="2318" width="0" style="680" hidden="1" customWidth="1"/>
    <col min="2319" max="2559" width="9.140625" style="680"/>
    <col min="2560" max="2560" width="3.7109375" style="680" customWidth="1"/>
    <col min="2561" max="2561" width="2.42578125" style="680" customWidth="1"/>
    <col min="2562" max="2562" width="2.85546875" style="680" customWidth="1"/>
    <col min="2563" max="2571" width="7.7109375" style="680" customWidth="1"/>
    <col min="2572" max="2572" width="6.5703125" style="680" customWidth="1"/>
    <col min="2573" max="2573" width="10.85546875" style="680" customWidth="1"/>
    <col min="2574" max="2574" width="0" style="680" hidden="1" customWidth="1"/>
    <col min="2575" max="2815" width="9.140625" style="680"/>
    <col min="2816" max="2816" width="3.7109375" style="680" customWidth="1"/>
    <col min="2817" max="2817" width="2.42578125" style="680" customWidth="1"/>
    <col min="2818" max="2818" width="2.85546875" style="680" customWidth="1"/>
    <col min="2819" max="2827" width="7.7109375" style="680" customWidth="1"/>
    <col min="2828" max="2828" width="6.5703125" style="680" customWidth="1"/>
    <col min="2829" max="2829" width="10.85546875" style="680" customWidth="1"/>
    <col min="2830" max="2830" width="0" style="680" hidden="1" customWidth="1"/>
    <col min="2831" max="3071" width="9.140625" style="680"/>
    <col min="3072" max="3072" width="3.7109375" style="680" customWidth="1"/>
    <col min="3073" max="3073" width="2.42578125" style="680" customWidth="1"/>
    <col min="3074" max="3074" width="2.85546875" style="680" customWidth="1"/>
    <col min="3075" max="3083" width="7.7109375" style="680" customWidth="1"/>
    <col min="3084" max="3084" width="6.5703125" style="680" customWidth="1"/>
    <col min="3085" max="3085" width="10.85546875" style="680" customWidth="1"/>
    <col min="3086" max="3086" width="0" style="680" hidden="1" customWidth="1"/>
    <col min="3087" max="3327" width="9.140625" style="680"/>
    <col min="3328" max="3328" width="3.7109375" style="680" customWidth="1"/>
    <col min="3329" max="3329" width="2.42578125" style="680" customWidth="1"/>
    <col min="3330" max="3330" width="2.85546875" style="680" customWidth="1"/>
    <col min="3331" max="3339" width="7.7109375" style="680" customWidth="1"/>
    <col min="3340" max="3340" width="6.5703125" style="680" customWidth="1"/>
    <col min="3341" max="3341" width="10.85546875" style="680" customWidth="1"/>
    <col min="3342" max="3342" width="0" style="680" hidden="1" customWidth="1"/>
    <col min="3343" max="3583" width="9.140625" style="680"/>
    <col min="3584" max="3584" width="3.7109375" style="680" customWidth="1"/>
    <col min="3585" max="3585" width="2.42578125" style="680" customWidth="1"/>
    <col min="3586" max="3586" width="2.85546875" style="680" customWidth="1"/>
    <col min="3587" max="3595" width="7.7109375" style="680" customWidth="1"/>
    <col min="3596" max="3596" width="6.5703125" style="680" customWidth="1"/>
    <col min="3597" max="3597" width="10.85546875" style="680" customWidth="1"/>
    <col min="3598" max="3598" width="0" style="680" hidden="1" customWidth="1"/>
    <col min="3599" max="3839" width="9.140625" style="680"/>
    <col min="3840" max="3840" width="3.7109375" style="680" customWidth="1"/>
    <col min="3841" max="3841" width="2.42578125" style="680" customWidth="1"/>
    <col min="3842" max="3842" width="2.85546875" style="680" customWidth="1"/>
    <col min="3843" max="3851" width="7.7109375" style="680" customWidth="1"/>
    <col min="3852" max="3852" width="6.5703125" style="680" customWidth="1"/>
    <col min="3853" max="3853" width="10.85546875" style="680" customWidth="1"/>
    <col min="3854" max="3854" width="0" style="680" hidden="1" customWidth="1"/>
    <col min="3855" max="4095" width="9.140625" style="680"/>
    <col min="4096" max="4096" width="3.7109375" style="680" customWidth="1"/>
    <col min="4097" max="4097" width="2.42578125" style="680" customWidth="1"/>
    <col min="4098" max="4098" width="2.85546875" style="680" customWidth="1"/>
    <col min="4099" max="4107" width="7.7109375" style="680" customWidth="1"/>
    <col min="4108" max="4108" width="6.5703125" style="680" customWidth="1"/>
    <col min="4109" max="4109" width="10.85546875" style="680" customWidth="1"/>
    <col min="4110" max="4110" width="0" style="680" hidden="1" customWidth="1"/>
    <col min="4111" max="4351" width="9.140625" style="680"/>
    <col min="4352" max="4352" width="3.7109375" style="680" customWidth="1"/>
    <col min="4353" max="4353" width="2.42578125" style="680" customWidth="1"/>
    <col min="4354" max="4354" width="2.85546875" style="680" customWidth="1"/>
    <col min="4355" max="4363" width="7.7109375" style="680" customWidth="1"/>
    <col min="4364" max="4364" width="6.5703125" style="680" customWidth="1"/>
    <col min="4365" max="4365" width="10.85546875" style="680" customWidth="1"/>
    <col min="4366" max="4366" width="0" style="680" hidden="1" customWidth="1"/>
    <col min="4367" max="4607" width="9.140625" style="680"/>
    <col min="4608" max="4608" width="3.7109375" style="680" customWidth="1"/>
    <col min="4609" max="4609" width="2.42578125" style="680" customWidth="1"/>
    <col min="4610" max="4610" width="2.85546875" style="680" customWidth="1"/>
    <col min="4611" max="4619" width="7.7109375" style="680" customWidth="1"/>
    <col min="4620" max="4620" width="6.5703125" style="680" customWidth="1"/>
    <col min="4621" max="4621" width="10.85546875" style="680" customWidth="1"/>
    <col min="4622" max="4622" width="0" style="680" hidden="1" customWidth="1"/>
    <col min="4623" max="4863" width="9.140625" style="680"/>
    <col min="4864" max="4864" width="3.7109375" style="680" customWidth="1"/>
    <col min="4865" max="4865" width="2.42578125" style="680" customWidth="1"/>
    <col min="4866" max="4866" width="2.85546875" style="680" customWidth="1"/>
    <col min="4867" max="4875" width="7.7109375" style="680" customWidth="1"/>
    <col min="4876" max="4876" width="6.5703125" style="680" customWidth="1"/>
    <col min="4877" max="4877" width="10.85546875" style="680" customWidth="1"/>
    <col min="4878" max="4878" width="0" style="680" hidden="1" customWidth="1"/>
    <col min="4879" max="5119" width="9.140625" style="680"/>
    <col min="5120" max="5120" width="3.7109375" style="680" customWidth="1"/>
    <col min="5121" max="5121" width="2.42578125" style="680" customWidth="1"/>
    <col min="5122" max="5122" width="2.85546875" style="680" customWidth="1"/>
    <col min="5123" max="5131" width="7.7109375" style="680" customWidth="1"/>
    <col min="5132" max="5132" width="6.5703125" style="680" customWidth="1"/>
    <col min="5133" max="5133" width="10.85546875" style="680" customWidth="1"/>
    <col min="5134" max="5134" width="0" style="680" hidden="1" customWidth="1"/>
    <col min="5135" max="5375" width="9.140625" style="680"/>
    <col min="5376" max="5376" width="3.7109375" style="680" customWidth="1"/>
    <col min="5377" max="5377" width="2.42578125" style="680" customWidth="1"/>
    <col min="5378" max="5378" width="2.85546875" style="680" customWidth="1"/>
    <col min="5379" max="5387" width="7.7109375" style="680" customWidth="1"/>
    <col min="5388" max="5388" width="6.5703125" style="680" customWidth="1"/>
    <col min="5389" max="5389" width="10.85546875" style="680" customWidth="1"/>
    <col min="5390" max="5390" width="0" style="680" hidden="1" customWidth="1"/>
    <col min="5391" max="5631" width="9.140625" style="680"/>
    <col min="5632" max="5632" width="3.7109375" style="680" customWidth="1"/>
    <col min="5633" max="5633" width="2.42578125" style="680" customWidth="1"/>
    <col min="5634" max="5634" width="2.85546875" style="680" customWidth="1"/>
    <col min="5635" max="5643" width="7.7109375" style="680" customWidth="1"/>
    <col min="5644" max="5644" width="6.5703125" style="680" customWidth="1"/>
    <col min="5645" max="5645" width="10.85546875" style="680" customWidth="1"/>
    <col min="5646" max="5646" width="0" style="680" hidden="1" customWidth="1"/>
    <col min="5647" max="5887" width="9.140625" style="680"/>
    <col min="5888" max="5888" width="3.7109375" style="680" customWidth="1"/>
    <col min="5889" max="5889" width="2.42578125" style="680" customWidth="1"/>
    <col min="5890" max="5890" width="2.85546875" style="680" customWidth="1"/>
    <col min="5891" max="5899" width="7.7109375" style="680" customWidth="1"/>
    <col min="5900" max="5900" width="6.5703125" style="680" customWidth="1"/>
    <col min="5901" max="5901" width="10.85546875" style="680" customWidth="1"/>
    <col min="5902" max="5902" width="0" style="680" hidden="1" customWidth="1"/>
    <col min="5903" max="6143" width="9.140625" style="680"/>
    <col min="6144" max="6144" width="3.7109375" style="680" customWidth="1"/>
    <col min="6145" max="6145" width="2.42578125" style="680" customWidth="1"/>
    <col min="6146" max="6146" width="2.85546875" style="680" customWidth="1"/>
    <col min="6147" max="6155" width="7.7109375" style="680" customWidth="1"/>
    <col min="6156" max="6156" width="6.5703125" style="680" customWidth="1"/>
    <col min="6157" max="6157" width="10.85546875" style="680" customWidth="1"/>
    <col min="6158" max="6158" width="0" style="680" hidden="1" customWidth="1"/>
    <col min="6159" max="6399" width="9.140625" style="680"/>
    <col min="6400" max="6400" width="3.7109375" style="680" customWidth="1"/>
    <col min="6401" max="6401" width="2.42578125" style="680" customWidth="1"/>
    <col min="6402" max="6402" width="2.85546875" style="680" customWidth="1"/>
    <col min="6403" max="6411" width="7.7109375" style="680" customWidth="1"/>
    <col min="6412" max="6412" width="6.5703125" style="680" customWidth="1"/>
    <col min="6413" max="6413" width="10.85546875" style="680" customWidth="1"/>
    <col min="6414" max="6414" width="0" style="680" hidden="1" customWidth="1"/>
    <col min="6415" max="6655" width="9.140625" style="680"/>
    <col min="6656" max="6656" width="3.7109375" style="680" customWidth="1"/>
    <col min="6657" max="6657" width="2.42578125" style="680" customWidth="1"/>
    <col min="6658" max="6658" width="2.85546875" style="680" customWidth="1"/>
    <col min="6659" max="6667" width="7.7109375" style="680" customWidth="1"/>
    <col min="6668" max="6668" width="6.5703125" style="680" customWidth="1"/>
    <col min="6669" max="6669" width="10.85546875" style="680" customWidth="1"/>
    <col min="6670" max="6670" width="0" style="680" hidden="1" customWidth="1"/>
    <col min="6671" max="6911" width="9.140625" style="680"/>
    <col min="6912" max="6912" width="3.7109375" style="680" customWidth="1"/>
    <col min="6913" max="6913" width="2.42578125" style="680" customWidth="1"/>
    <col min="6914" max="6914" width="2.85546875" style="680" customWidth="1"/>
    <col min="6915" max="6923" width="7.7109375" style="680" customWidth="1"/>
    <col min="6924" max="6924" width="6.5703125" style="680" customWidth="1"/>
    <col min="6925" max="6925" width="10.85546875" style="680" customWidth="1"/>
    <col min="6926" max="6926" width="0" style="680" hidden="1" customWidth="1"/>
    <col min="6927" max="7167" width="9.140625" style="680"/>
    <col min="7168" max="7168" width="3.7109375" style="680" customWidth="1"/>
    <col min="7169" max="7169" width="2.42578125" style="680" customWidth="1"/>
    <col min="7170" max="7170" width="2.85546875" style="680" customWidth="1"/>
    <col min="7171" max="7179" width="7.7109375" style="680" customWidth="1"/>
    <col min="7180" max="7180" width="6.5703125" style="680" customWidth="1"/>
    <col min="7181" max="7181" width="10.85546875" style="680" customWidth="1"/>
    <col min="7182" max="7182" width="0" style="680" hidden="1" customWidth="1"/>
    <col min="7183" max="7423" width="9.140625" style="680"/>
    <col min="7424" max="7424" width="3.7109375" style="680" customWidth="1"/>
    <col min="7425" max="7425" width="2.42578125" style="680" customWidth="1"/>
    <col min="7426" max="7426" width="2.85546875" style="680" customWidth="1"/>
    <col min="7427" max="7435" width="7.7109375" style="680" customWidth="1"/>
    <col min="7436" max="7436" width="6.5703125" style="680" customWidth="1"/>
    <col min="7437" max="7437" width="10.85546875" style="680" customWidth="1"/>
    <col min="7438" max="7438" width="0" style="680" hidden="1" customWidth="1"/>
    <col min="7439" max="7679" width="9.140625" style="680"/>
    <col min="7680" max="7680" width="3.7109375" style="680" customWidth="1"/>
    <col min="7681" max="7681" width="2.42578125" style="680" customWidth="1"/>
    <col min="7682" max="7682" width="2.85546875" style="680" customWidth="1"/>
    <col min="7683" max="7691" width="7.7109375" style="680" customWidth="1"/>
    <col min="7692" max="7692" width="6.5703125" style="680" customWidth="1"/>
    <col min="7693" max="7693" width="10.85546875" style="680" customWidth="1"/>
    <col min="7694" max="7694" width="0" style="680" hidden="1" customWidth="1"/>
    <col min="7695" max="7935" width="9.140625" style="680"/>
    <col min="7936" max="7936" width="3.7109375" style="680" customWidth="1"/>
    <col min="7937" max="7937" width="2.42578125" style="680" customWidth="1"/>
    <col min="7938" max="7938" width="2.85546875" style="680" customWidth="1"/>
    <col min="7939" max="7947" width="7.7109375" style="680" customWidth="1"/>
    <col min="7948" max="7948" width="6.5703125" style="680" customWidth="1"/>
    <col min="7949" max="7949" width="10.85546875" style="680" customWidth="1"/>
    <col min="7950" max="7950" width="0" style="680" hidden="1" customWidth="1"/>
    <col min="7951" max="8191" width="9.140625" style="680"/>
    <col min="8192" max="8192" width="3.7109375" style="680" customWidth="1"/>
    <col min="8193" max="8193" width="2.42578125" style="680" customWidth="1"/>
    <col min="8194" max="8194" width="2.85546875" style="680" customWidth="1"/>
    <col min="8195" max="8203" width="7.7109375" style="680" customWidth="1"/>
    <col min="8204" max="8204" width="6.5703125" style="680" customWidth="1"/>
    <col min="8205" max="8205" width="10.85546875" style="680" customWidth="1"/>
    <col min="8206" max="8206" width="0" style="680" hidden="1" customWidth="1"/>
    <col min="8207" max="8447" width="9.140625" style="680"/>
    <col min="8448" max="8448" width="3.7109375" style="680" customWidth="1"/>
    <col min="8449" max="8449" width="2.42578125" style="680" customWidth="1"/>
    <col min="8450" max="8450" width="2.85546875" style="680" customWidth="1"/>
    <col min="8451" max="8459" width="7.7109375" style="680" customWidth="1"/>
    <col min="8460" max="8460" width="6.5703125" style="680" customWidth="1"/>
    <col min="8461" max="8461" width="10.85546875" style="680" customWidth="1"/>
    <col min="8462" max="8462" width="0" style="680" hidden="1" customWidth="1"/>
    <col min="8463" max="8703" width="9.140625" style="680"/>
    <col min="8704" max="8704" width="3.7109375" style="680" customWidth="1"/>
    <col min="8705" max="8705" width="2.42578125" style="680" customWidth="1"/>
    <col min="8706" max="8706" width="2.85546875" style="680" customWidth="1"/>
    <col min="8707" max="8715" width="7.7109375" style="680" customWidth="1"/>
    <col min="8716" max="8716" width="6.5703125" style="680" customWidth="1"/>
    <col min="8717" max="8717" width="10.85546875" style="680" customWidth="1"/>
    <col min="8718" max="8718" width="0" style="680" hidden="1" customWidth="1"/>
    <col min="8719" max="8959" width="9.140625" style="680"/>
    <col min="8960" max="8960" width="3.7109375" style="680" customWidth="1"/>
    <col min="8961" max="8961" width="2.42578125" style="680" customWidth="1"/>
    <col min="8962" max="8962" width="2.85546875" style="680" customWidth="1"/>
    <col min="8963" max="8971" width="7.7109375" style="680" customWidth="1"/>
    <col min="8972" max="8972" width="6.5703125" style="680" customWidth="1"/>
    <col min="8973" max="8973" width="10.85546875" style="680" customWidth="1"/>
    <col min="8974" max="8974" width="0" style="680" hidden="1" customWidth="1"/>
    <col min="8975" max="9215" width="9.140625" style="680"/>
    <col min="9216" max="9216" width="3.7109375" style="680" customWidth="1"/>
    <col min="9217" max="9217" width="2.42578125" style="680" customWidth="1"/>
    <col min="9218" max="9218" width="2.85546875" style="680" customWidth="1"/>
    <col min="9219" max="9227" width="7.7109375" style="680" customWidth="1"/>
    <col min="9228" max="9228" width="6.5703125" style="680" customWidth="1"/>
    <col min="9229" max="9229" width="10.85546875" style="680" customWidth="1"/>
    <col min="9230" max="9230" width="0" style="680" hidden="1" customWidth="1"/>
    <col min="9231" max="9471" width="9.140625" style="680"/>
    <col min="9472" max="9472" width="3.7109375" style="680" customWidth="1"/>
    <col min="9473" max="9473" width="2.42578125" style="680" customWidth="1"/>
    <col min="9474" max="9474" width="2.85546875" style="680" customWidth="1"/>
    <col min="9475" max="9483" width="7.7109375" style="680" customWidth="1"/>
    <col min="9484" max="9484" width="6.5703125" style="680" customWidth="1"/>
    <col min="9485" max="9485" width="10.85546875" style="680" customWidth="1"/>
    <col min="9486" max="9486" width="0" style="680" hidden="1" customWidth="1"/>
    <col min="9487" max="9727" width="9.140625" style="680"/>
    <col min="9728" max="9728" width="3.7109375" style="680" customWidth="1"/>
    <col min="9729" max="9729" width="2.42578125" style="680" customWidth="1"/>
    <col min="9730" max="9730" width="2.85546875" style="680" customWidth="1"/>
    <col min="9731" max="9739" width="7.7109375" style="680" customWidth="1"/>
    <col min="9740" max="9740" width="6.5703125" style="680" customWidth="1"/>
    <col min="9741" max="9741" width="10.85546875" style="680" customWidth="1"/>
    <col min="9742" max="9742" width="0" style="680" hidden="1" customWidth="1"/>
    <col min="9743" max="9983" width="9.140625" style="680"/>
    <col min="9984" max="9984" width="3.7109375" style="680" customWidth="1"/>
    <col min="9985" max="9985" width="2.42578125" style="680" customWidth="1"/>
    <col min="9986" max="9986" width="2.85546875" style="680" customWidth="1"/>
    <col min="9987" max="9995" width="7.7109375" style="680" customWidth="1"/>
    <col min="9996" max="9996" width="6.5703125" style="680" customWidth="1"/>
    <col min="9997" max="9997" width="10.85546875" style="680" customWidth="1"/>
    <col min="9998" max="9998" width="0" style="680" hidden="1" customWidth="1"/>
    <col min="9999" max="10239" width="9.140625" style="680"/>
    <col min="10240" max="10240" width="3.7109375" style="680" customWidth="1"/>
    <col min="10241" max="10241" width="2.42578125" style="680" customWidth="1"/>
    <col min="10242" max="10242" width="2.85546875" style="680" customWidth="1"/>
    <col min="10243" max="10251" width="7.7109375" style="680" customWidth="1"/>
    <col min="10252" max="10252" width="6.5703125" style="680" customWidth="1"/>
    <col min="10253" max="10253" width="10.85546875" style="680" customWidth="1"/>
    <col min="10254" max="10254" width="0" style="680" hidden="1" customWidth="1"/>
    <col min="10255" max="10495" width="9.140625" style="680"/>
    <col min="10496" max="10496" width="3.7109375" style="680" customWidth="1"/>
    <col min="10497" max="10497" width="2.42578125" style="680" customWidth="1"/>
    <col min="10498" max="10498" width="2.85546875" style="680" customWidth="1"/>
    <col min="10499" max="10507" width="7.7109375" style="680" customWidth="1"/>
    <col min="10508" max="10508" width="6.5703125" style="680" customWidth="1"/>
    <col min="10509" max="10509" width="10.85546875" style="680" customWidth="1"/>
    <col min="10510" max="10510" width="0" style="680" hidden="1" customWidth="1"/>
    <col min="10511" max="10751" width="9.140625" style="680"/>
    <col min="10752" max="10752" width="3.7109375" style="680" customWidth="1"/>
    <col min="10753" max="10753" width="2.42578125" style="680" customWidth="1"/>
    <col min="10754" max="10754" width="2.85546875" style="680" customWidth="1"/>
    <col min="10755" max="10763" width="7.7109375" style="680" customWidth="1"/>
    <col min="10764" max="10764" width="6.5703125" style="680" customWidth="1"/>
    <col min="10765" max="10765" width="10.85546875" style="680" customWidth="1"/>
    <col min="10766" max="10766" width="0" style="680" hidden="1" customWidth="1"/>
    <col min="10767" max="11007" width="9.140625" style="680"/>
    <col min="11008" max="11008" width="3.7109375" style="680" customWidth="1"/>
    <col min="11009" max="11009" width="2.42578125" style="680" customWidth="1"/>
    <col min="11010" max="11010" width="2.85546875" style="680" customWidth="1"/>
    <col min="11011" max="11019" width="7.7109375" style="680" customWidth="1"/>
    <col min="11020" max="11020" width="6.5703125" style="680" customWidth="1"/>
    <col min="11021" max="11021" width="10.85546875" style="680" customWidth="1"/>
    <col min="11022" max="11022" width="0" style="680" hidden="1" customWidth="1"/>
    <col min="11023" max="11263" width="9.140625" style="680"/>
    <col min="11264" max="11264" width="3.7109375" style="680" customWidth="1"/>
    <col min="11265" max="11265" width="2.42578125" style="680" customWidth="1"/>
    <col min="11266" max="11266" width="2.85546875" style="680" customWidth="1"/>
    <col min="11267" max="11275" width="7.7109375" style="680" customWidth="1"/>
    <col min="11276" max="11276" width="6.5703125" style="680" customWidth="1"/>
    <col min="11277" max="11277" width="10.85546875" style="680" customWidth="1"/>
    <col min="11278" max="11278" width="0" style="680" hidden="1" customWidth="1"/>
    <col min="11279" max="11519" width="9.140625" style="680"/>
    <col min="11520" max="11520" width="3.7109375" style="680" customWidth="1"/>
    <col min="11521" max="11521" width="2.42578125" style="680" customWidth="1"/>
    <col min="11522" max="11522" width="2.85546875" style="680" customWidth="1"/>
    <col min="11523" max="11531" width="7.7109375" style="680" customWidth="1"/>
    <col min="11532" max="11532" width="6.5703125" style="680" customWidth="1"/>
    <col min="11533" max="11533" width="10.85546875" style="680" customWidth="1"/>
    <col min="11534" max="11534" width="0" style="680" hidden="1" customWidth="1"/>
    <col min="11535" max="11775" width="9.140625" style="680"/>
    <col min="11776" max="11776" width="3.7109375" style="680" customWidth="1"/>
    <col min="11777" max="11777" width="2.42578125" style="680" customWidth="1"/>
    <col min="11778" max="11778" width="2.85546875" style="680" customWidth="1"/>
    <col min="11779" max="11787" width="7.7109375" style="680" customWidth="1"/>
    <col min="11788" max="11788" width="6.5703125" style="680" customWidth="1"/>
    <col min="11789" max="11789" width="10.85546875" style="680" customWidth="1"/>
    <col min="11790" max="11790" width="0" style="680" hidden="1" customWidth="1"/>
    <col min="11791" max="12031" width="9.140625" style="680"/>
    <col min="12032" max="12032" width="3.7109375" style="680" customWidth="1"/>
    <col min="12033" max="12033" width="2.42578125" style="680" customWidth="1"/>
    <col min="12034" max="12034" width="2.85546875" style="680" customWidth="1"/>
    <col min="12035" max="12043" width="7.7109375" style="680" customWidth="1"/>
    <col min="12044" max="12044" width="6.5703125" style="680" customWidth="1"/>
    <col min="12045" max="12045" width="10.85546875" style="680" customWidth="1"/>
    <col min="12046" max="12046" width="0" style="680" hidden="1" customWidth="1"/>
    <col min="12047" max="12287" width="9.140625" style="680"/>
    <col min="12288" max="12288" width="3.7109375" style="680" customWidth="1"/>
    <col min="12289" max="12289" width="2.42578125" style="680" customWidth="1"/>
    <col min="12290" max="12290" width="2.85546875" style="680" customWidth="1"/>
    <col min="12291" max="12299" width="7.7109375" style="680" customWidth="1"/>
    <col min="12300" max="12300" width="6.5703125" style="680" customWidth="1"/>
    <col min="12301" max="12301" width="10.85546875" style="680" customWidth="1"/>
    <col min="12302" max="12302" width="0" style="680" hidden="1" customWidth="1"/>
    <col min="12303" max="12543" width="9.140625" style="680"/>
    <col min="12544" max="12544" width="3.7109375" style="680" customWidth="1"/>
    <col min="12545" max="12545" width="2.42578125" style="680" customWidth="1"/>
    <col min="12546" max="12546" width="2.85546875" style="680" customWidth="1"/>
    <col min="12547" max="12555" width="7.7109375" style="680" customWidth="1"/>
    <col min="12556" max="12556" width="6.5703125" style="680" customWidth="1"/>
    <col min="12557" max="12557" width="10.85546875" style="680" customWidth="1"/>
    <col min="12558" max="12558" width="0" style="680" hidden="1" customWidth="1"/>
    <col min="12559" max="12799" width="9.140625" style="680"/>
    <col min="12800" max="12800" width="3.7109375" style="680" customWidth="1"/>
    <col min="12801" max="12801" width="2.42578125" style="680" customWidth="1"/>
    <col min="12802" max="12802" width="2.85546875" style="680" customWidth="1"/>
    <col min="12803" max="12811" width="7.7109375" style="680" customWidth="1"/>
    <col min="12812" max="12812" width="6.5703125" style="680" customWidth="1"/>
    <col min="12813" max="12813" width="10.85546875" style="680" customWidth="1"/>
    <col min="12814" max="12814" width="0" style="680" hidden="1" customWidth="1"/>
    <col min="12815" max="13055" width="9.140625" style="680"/>
    <col min="13056" max="13056" width="3.7109375" style="680" customWidth="1"/>
    <col min="13057" max="13057" width="2.42578125" style="680" customWidth="1"/>
    <col min="13058" max="13058" width="2.85546875" style="680" customWidth="1"/>
    <col min="13059" max="13067" width="7.7109375" style="680" customWidth="1"/>
    <col min="13068" max="13068" width="6.5703125" style="680" customWidth="1"/>
    <col min="13069" max="13069" width="10.85546875" style="680" customWidth="1"/>
    <col min="13070" max="13070" width="0" style="680" hidden="1" customWidth="1"/>
    <col min="13071" max="13311" width="9.140625" style="680"/>
    <col min="13312" max="13312" width="3.7109375" style="680" customWidth="1"/>
    <col min="13313" max="13313" width="2.42578125" style="680" customWidth="1"/>
    <col min="13314" max="13314" width="2.85546875" style="680" customWidth="1"/>
    <col min="13315" max="13323" width="7.7109375" style="680" customWidth="1"/>
    <col min="13324" max="13324" width="6.5703125" style="680" customWidth="1"/>
    <col min="13325" max="13325" width="10.85546875" style="680" customWidth="1"/>
    <col min="13326" max="13326" width="0" style="680" hidden="1" customWidth="1"/>
    <col min="13327" max="13567" width="9.140625" style="680"/>
    <col min="13568" max="13568" width="3.7109375" style="680" customWidth="1"/>
    <col min="13569" max="13569" width="2.42578125" style="680" customWidth="1"/>
    <col min="13570" max="13570" width="2.85546875" style="680" customWidth="1"/>
    <col min="13571" max="13579" width="7.7109375" style="680" customWidth="1"/>
    <col min="13580" max="13580" width="6.5703125" style="680" customWidth="1"/>
    <col min="13581" max="13581" width="10.85546875" style="680" customWidth="1"/>
    <col min="13582" max="13582" width="0" style="680" hidden="1" customWidth="1"/>
    <col min="13583" max="13823" width="9.140625" style="680"/>
    <col min="13824" max="13824" width="3.7109375" style="680" customWidth="1"/>
    <col min="13825" max="13825" width="2.42578125" style="680" customWidth="1"/>
    <col min="13826" max="13826" width="2.85546875" style="680" customWidth="1"/>
    <col min="13827" max="13835" width="7.7109375" style="680" customWidth="1"/>
    <col min="13836" max="13836" width="6.5703125" style="680" customWidth="1"/>
    <col min="13837" max="13837" width="10.85546875" style="680" customWidth="1"/>
    <col min="13838" max="13838" width="0" style="680" hidden="1" customWidth="1"/>
    <col min="13839" max="14079" width="9.140625" style="680"/>
    <col min="14080" max="14080" width="3.7109375" style="680" customWidth="1"/>
    <col min="14081" max="14081" width="2.42578125" style="680" customWidth="1"/>
    <col min="14082" max="14082" width="2.85546875" style="680" customWidth="1"/>
    <col min="14083" max="14091" width="7.7109375" style="680" customWidth="1"/>
    <col min="14092" max="14092" width="6.5703125" style="680" customWidth="1"/>
    <col min="14093" max="14093" width="10.85546875" style="680" customWidth="1"/>
    <col min="14094" max="14094" width="0" style="680" hidden="1" customWidth="1"/>
    <col min="14095" max="14335" width="9.140625" style="680"/>
    <col min="14336" max="14336" width="3.7109375" style="680" customWidth="1"/>
    <col min="14337" max="14337" width="2.42578125" style="680" customWidth="1"/>
    <col min="14338" max="14338" width="2.85546875" style="680" customWidth="1"/>
    <col min="14339" max="14347" width="7.7109375" style="680" customWidth="1"/>
    <col min="14348" max="14348" width="6.5703125" style="680" customWidth="1"/>
    <col min="14349" max="14349" width="10.85546875" style="680" customWidth="1"/>
    <col min="14350" max="14350" width="0" style="680" hidden="1" customWidth="1"/>
    <col min="14351" max="14591" width="9.140625" style="680"/>
    <col min="14592" max="14592" width="3.7109375" style="680" customWidth="1"/>
    <col min="14593" max="14593" width="2.42578125" style="680" customWidth="1"/>
    <col min="14594" max="14594" width="2.85546875" style="680" customWidth="1"/>
    <col min="14595" max="14603" width="7.7109375" style="680" customWidth="1"/>
    <col min="14604" max="14604" width="6.5703125" style="680" customWidth="1"/>
    <col min="14605" max="14605" width="10.85546875" style="680" customWidth="1"/>
    <col min="14606" max="14606" width="0" style="680" hidden="1" customWidth="1"/>
    <col min="14607" max="14847" width="9.140625" style="680"/>
    <col min="14848" max="14848" width="3.7109375" style="680" customWidth="1"/>
    <col min="14849" max="14849" width="2.42578125" style="680" customWidth="1"/>
    <col min="14850" max="14850" width="2.85546875" style="680" customWidth="1"/>
    <col min="14851" max="14859" width="7.7109375" style="680" customWidth="1"/>
    <col min="14860" max="14860" width="6.5703125" style="680" customWidth="1"/>
    <col min="14861" max="14861" width="10.85546875" style="680" customWidth="1"/>
    <col min="14862" max="14862" width="0" style="680" hidden="1" customWidth="1"/>
    <col min="14863" max="15103" width="9.140625" style="680"/>
    <col min="15104" max="15104" width="3.7109375" style="680" customWidth="1"/>
    <col min="15105" max="15105" width="2.42578125" style="680" customWidth="1"/>
    <col min="15106" max="15106" width="2.85546875" style="680" customWidth="1"/>
    <col min="15107" max="15115" width="7.7109375" style="680" customWidth="1"/>
    <col min="15116" max="15116" width="6.5703125" style="680" customWidth="1"/>
    <col min="15117" max="15117" width="10.85546875" style="680" customWidth="1"/>
    <col min="15118" max="15118" width="0" style="680" hidden="1" customWidth="1"/>
    <col min="15119" max="15359" width="9.140625" style="680"/>
    <col min="15360" max="15360" width="3.7109375" style="680" customWidth="1"/>
    <col min="15361" max="15361" width="2.42578125" style="680" customWidth="1"/>
    <col min="15362" max="15362" width="2.85546875" style="680" customWidth="1"/>
    <col min="15363" max="15371" width="7.7109375" style="680" customWidth="1"/>
    <col min="15372" max="15372" width="6.5703125" style="680" customWidth="1"/>
    <col min="15373" max="15373" width="10.85546875" style="680" customWidth="1"/>
    <col min="15374" max="15374" width="0" style="680" hidden="1" customWidth="1"/>
    <col min="15375" max="15615" width="9.140625" style="680"/>
    <col min="15616" max="15616" width="3.7109375" style="680" customWidth="1"/>
    <col min="15617" max="15617" width="2.42578125" style="680" customWidth="1"/>
    <col min="15618" max="15618" width="2.85546875" style="680" customWidth="1"/>
    <col min="15619" max="15627" width="7.7109375" style="680" customWidth="1"/>
    <col min="15628" max="15628" width="6.5703125" style="680" customWidth="1"/>
    <col min="15629" max="15629" width="10.85546875" style="680" customWidth="1"/>
    <col min="15630" max="15630" width="0" style="680" hidden="1" customWidth="1"/>
    <col min="15631" max="15871" width="9.140625" style="680"/>
    <col min="15872" max="15872" width="3.7109375" style="680" customWidth="1"/>
    <col min="15873" max="15873" width="2.42578125" style="680" customWidth="1"/>
    <col min="15874" max="15874" width="2.85546875" style="680" customWidth="1"/>
    <col min="15875" max="15883" width="7.7109375" style="680" customWidth="1"/>
    <col min="15884" max="15884" width="6.5703125" style="680" customWidth="1"/>
    <col min="15885" max="15885" width="10.85546875" style="680" customWidth="1"/>
    <col min="15886" max="15886" width="0" style="680" hidden="1" customWidth="1"/>
    <col min="15887" max="16127" width="9.140625" style="680"/>
    <col min="16128" max="16128" width="3.7109375" style="680" customWidth="1"/>
    <col min="16129" max="16129" width="2.42578125" style="680" customWidth="1"/>
    <col min="16130" max="16130" width="2.85546875" style="680" customWidth="1"/>
    <col min="16131" max="16139" width="7.7109375" style="680" customWidth="1"/>
    <col min="16140" max="16140" width="6.5703125" style="680" customWidth="1"/>
    <col min="16141" max="16141" width="10.85546875" style="680" customWidth="1"/>
    <col min="16142" max="16142" width="0" style="680" hidden="1" customWidth="1"/>
    <col min="16143" max="16384" width="9.140625" style="680"/>
  </cols>
  <sheetData>
    <row r="1" spans="1:21" ht="9.75" customHeight="1" x14ac:dyDescent="0.2">
      <c r="A1" s="673" t="s">
        <v>152</v>
      </c>
      <c r="B1" s="729"/>
      <c r="C1" s="729"/>
      <c r="D1" s="729"/>
      <c r="E1" s="673" t="s">
        <v>154</v>
      </c>
      <c r="F1" s="673" t="s">
        <v>155</v>
      </c>
      <c r="G1" s="674"/>
      <c r="H1" s="675" t="s">
        <v>153</v>
      </c>
      <c r="I1" s="676" t="s">
        <v>46</v>
      </c>
      <c r="J1" s="677"/>
      <c r="K1" s="678" t="s">
        <v>169</v>
      </c>
      <c r="L1" s="678" t="s">
        <v>156</v>
      </c>
      <c r="M1" s="677"/>
      <c r="N1" s="679" t="str">
        <f>IF(ISBLANK(I2),"",I2)</f>
        <v/>
      </c>
      <c r="O1" s="679" t="str">
        <f>IF(ISBLANK(K2),"",K2)</f>
        <v/>
      </c>
      <c r="P1" s="679" t="str">
        <f>IF(ISBLANK(L2),"",L2)</f>
        <v/>
      </c>
    </row>
    <row r="2" spans="1:21" s="685" customFormat="1" ht="21" customHeight="1" x14ac:dyDescent="0.25">
      <c r="A2" s="1039" t="str">
        <f>Fältkort!H91</f>
        <v>HUG066</v>
      </c>
      <c r="B2" s="1040"/>
      <c r="C2" s="1040"/>
      <c r="D2" s="730"/>
      <c r="E2" s="681" t="str">
        <f>Fältkort!H86</f>
        <v>HU-1433</v>
      </c>
      <c r="F2" s="681" t="str">
        <f>Fältkort!H94</f>
        <v>M-658-2014</v>
      </c>
      <c r="G2" s="682"/>
      <c r="H2" s="683">
        <f>PM!AF6</f>
        <v>2014</v>
      </c>
      <c r="I2" s="1037"/>
      <c r="J2" s="1038"/>
      <c r="K2" s="751"/>
      <c r="L2" s="1035"/>
      <c r="M2" s="1036"/>
      <c r="P2" s="685">
        <f>E4</f>
        <v>0</v>
      </c>
      <c r="Q2" s="685">
        <f t="shared" ref="Q2:U2" si="0">F4</f>
        <v>0</v>
      </c>
      <c r="R2" s="685">
        <f t="shared" si="0"/>
        <v>0</v>
      </c>
      <c r="S2" s="685">
        <f t="shared" si="0"/>
        <v>0</v>
      </c>
      <c r="T2" s="685">
        <f t="shared" si="0"/>
        <v>0</v>
      </c>
      <c r="U2" s="685">
        <f t="shared" si="0"/>
        <v>0</v>
      </c>
    </row>
    <row r="3" spans="1:21" ht="12.75" customHeight="1" x14ac:dyDescent="0.2">
      <c r="A3" s="731"/>
      <c r="B3" s="732"/>
      <c r="C3" s="733"/>
      <c r="D3" s="732"/>
      <c r="E3" s="687" t="s">
        <v>809</v>
      </c>
      <c r="F3" s="687"/>
      <c r="G3" s="687"/>
      <c r="H3" s="687"/>
      <c r="I3" s="687"/>
      <c r="J3" s="687"/>
      <c r="K3" s="687"/>
      <c r="L3" s="688"/>
      <c r="M3" s="689"/>
      <c r="P3" s="727">
        <f t="shared" ref="P3:U3" si="1">$I2</f>
        <v>0</v>
      </c>
      <c r="Q3" s="727">
        <f t="shared" si="1"/>
        <v>0</v>
      </c>
      <c r="R3" s="727">
        <f t="shared" si="1"/>
        <v>0</v>
      </c>
      <c r="S3" s="727">
        <f t="shared" si="1"/>
        <v>0</v>
      </c>
      <c r="T3" s="727">
        <f t="shared" si="1"/>
        <v>0</v>
      </c>
      <c r="U3" s="727">
        <f t="shared" si="1"/>
        <v>0</v>
      </c>
    </row>
    <row r="4" spans="1:21" ht="15.75" customHeight="1" x14ac:dyDescent="0.2">
      <c r="A4" s="692" t="s">
        <v>810</v>
      </c>
      <c r="B4" s="693"/>
      <c r="C4" s="694" t="s">
        <v>11</v>
      </c>
      <c r="D4" s="734"/>
      <c r="E4" s="735"/>
      <c r="F4" s="735"/>
      <c r="G4" s="735"/>
      <c r="H4" s="735"/>
      <c r="I4" s="735"/>
      <c r="J4" s="735"/>
      <c r="K4" s="735"/>
      <c r="L4" s="1033" t="str">
        <f>PM!H70</f>
        <v/>
      </c>
      <c r="M4" s="1034"/>
      <c r="P4" s="727" t="s">
        <v>242</v>
      </c>
      <c r="Q4" s="727" t="s">
        <v>242</v>
      </c>
      <c r="R4" s="727" t="s">
        <v>242</v>
      </c>
      <c r="S4" s="727" t="s">
        <v>242</v>
      </c>
      <c r="T4" s="727" t="s">
        <v>242</v>
      </c>
      <c r="U4" s="727" t="s">
        <v>242</v>
      </c>
    </row>
    <row r="5" spans="1:21" ht="21.75" customHeight="1" x14ac:dyDescent="0.2">
      <c r="A5" s="696" t="s">
        <v>149</v>
      </c>
      <c r="B5" s="696" t="s">
        <v>158</v>
      </c>
      <c r="C5" s="697" t="s">
        <v>157</v>
      </c>
      <c r="D5" s="697"/>
      <c r="E5" s="736"/>
      <c r="F5" s="737"/>
      <c r="G5" s="698"/>
      <c r="H5" s="698"/>
      <c r="I5" s="737"/>
      <c r="J5" s="737"/>
      <c r="K5" s="698"/>
      <c r="L5" s="738" t="str">
        <f>IF(ISBLANK(PM!J70),"",PM!J70)</f>
        <v>T1</v>
      </c>
      <c r="M5" s="739" t="str">
        <f>IF(ISBLANK(PM!K70),"",PM!K70)</f>
        <v>+10 dagar</v>
      </c>
      <c r="P5" s="727">
        <f t="shared" ref="P5:U5" si="2">$K2</f>
        <v>0</v>
      </c>
      <c r="Q5" s="727">
        <f t="shared" si="2"/>
        <v>0</v>
      </c>
      <c r="R5" s="727">
        <f t="shared" si="2"/>
        <v>0</v>
      </c>
      <c r="S5" s="727">
        <f t="shared" si="2"/>
        <v>0</v>
      </c>
      <c r="T5" s="727">
        <f t="shared" si="2"/>
        <v>0</v>
      </c>
      <c r="U5" s="727">
        <f t="shared" si="2"/>
        <v>0</v>
      </c>
    </row>
    <row r="6" spans="1:21" s="707" customFormat="1" ht="19.5" customHeight="1" x14ac:dyDescent="0.2">
      <c r="A6" s="701">
        <f>Led!D2</f>
        <v>1</v>
      </c>
      <c r="B6" s="702">
        <f>Led!E2</f>
        <v>1</v>
      </c>
      <c r="C6" s="703">
        <f>IF(ISNUMBER(A6),Led!F2,"")</f>
        <v>7</v>
      </c>
      <c r="D6" s="740" t="str">
        <f>Led!CS2</f>
        <v>1-07</v>
      </c>
      <c r="E6" s="704"/>
      <c r="F6" s="704"/>
      <c r="G6" s="704"/>
      <c r="H6" s="704"/>
      <c r="I6" s="704"/>
      <c r="J6" s="704"/>
      <c r="K6" s="704"/>
      <c r="L6" s="741" t="s">
        <v>456</v>
      </c>
      <c r="M6" s="742" t="s">
        <v>159</v>
      </c>
      <c r="P6" s="727"/>
      <c r="R6" s="680"/>
      <c r="S6" s="680"/>
    </row>
    <row r="7" spans="1:21" s="707" customFormat="1" ht="19.5" customHeight="1" x14ac:dyDescent="0.2">
      <c r="A7" s="701">
        <f>Led!D3</f>
        <v>2</v>
      </c>
      <c r="B7" s="702">
        <f>Led!E3</f>
        <v>1</v>
      </c>
      <c r="C7" s="703">
        <f>IF(ISNUMBER(A7),Led!F3,"")</f>
        <v>4</v>
      </c>
      <c r="D7" s="740" t="str">
        <f>Led!CS3</f>
        <v>1-04</v>
      </c>
      <c r="E7" s="704"/>
      <c r="F7" s="704"/>
      <c r="G7" s="704"/>
      <c r="H7" s="704"/>
      <c r="I7" s="704"/>
      <c r="J7" s="704"/>
      <c r="K7" s="704"/>
      <c r="L7" s="743" t="s">
        <v>457</v>
      </c>
      <c r="M7" s="744" t="s">
        <v>160</v>
      </c>
      <c r="P7" s="727"/>
      <c r="R7" s="680"/>
      <c r="S7" s="680"/>
    </row>
    <row r="8" spans="1:21" s="707" customFormat="1" ht="19.5" customHeight="1" x14ac:dyDescent="0.2">
      <c r="A8" s="701">
        <f>Led!D4</f>
        <v>3</v>
      </c>
      <c r="B8" s="702">
        <f>Led!E4</f>
        <v>1</v>
      </c>
      <c r="C8" s="703">
        <f>IF(ISNUMBER(A8),Led!F4,"")</f>
        <v>3</v>
      </c>
      <c r="D8" s="740" t="str">
        <f>Led!CS4</f>
        <v>1-03</v>
      </c>
      <c r="E8" s="704"/>
      <c r="F8" s="704"/>
      <c r="G8" s="704"/>
      <c r="H8" s="708"/>
      <c r="I8" s="704"/>
      <c r="J8" s="704"/>
      <c r="K8" s="704"/>
      <c r="L8" s="743" t="s">
        <v>458</v>
      </c>
      <c r="M8" s="744" t="s">
        <v>161</v>
      </c>
      <c r="P8" s="727"/>
      <c r="R8" s="680"/>
      <c r="S8" s="680"/>
    </row>
    <row r="9" spans="1:21" s="707" customFormat="1" ht="19.5" customHeight="1" x14ac:dyDescent="0.2">
      <c r="A9" s="701">
        <f>Led!D5</f>
        <v>4</v>
      </c>
      <c r="B9" s="702">
        <f>Led!E5</f>
        <v>1</v>
      </c>
      <c r="C9" s="703">
        <f>IF(ISNUMBER(A9),Led!F5,"")</f>
        <v>1</v>
      </c>
      <c r="D9" s="740" t="str">
        <f>Led!CS5</f>
        <v>1-01</v>
      </c>
      <c r="E9" s="704"/>
      <c r="F9" s="704"/>
      <c r="G9" s="704"/>
      <c r="H9" s="704"/>
      <c r="I9" s="704"/>
      <c r="J9" s="704"/>
      <c r="K9" s="704"/>
      <c r="L9" s="743" t="s">
        <v>459</v>
      </c>
      <c r="M9" s="744" t="s">
        <v>162</v>
      </c>
      <c r="P9" s="727"/>
      <c r="R9" s="680"/>
      <c r="S9" s="680"/>
    </row>
    <row r="10" spans="1:21" s="707" customFormat="1" ht="19.5" customHeight="1" x14ac:dyDescent="0.2">
      <c r="A10" s="701">
        <f>Led!D6</f>
        <v>5</v>
      </c>
      <c r="B10" s="702">
        <f>Led!E6</f>
        <v>1</v>
      </c>
      <c r="C10" s="703">
        <f>IF(ISNUMBER(A10),Led!F6,"")</f>
        <v>3</v>
      </c>
      <c r="D10" s="740" t="str">
        <f>Led!CS6</f>
        <v>1-03</v>
      </c>
      <c r="E10" s="704"/>
      <c r="F10" s="704"/>
      <c r="G10" s="704"/>
      <c r="H10" s="704"/>
      <c r="I10" s="704"/>
      <c r="J10" s="704"/>
      <c r="K10" s="704"/>
      <c r="L10" s="743" t="s">
        <v>460</v>
      </c>
      <c r="M10" s="744" t="s">
        <v>163</v>
      </c>
      <c r="P10" s="727"/>
      <c r="R10" s="680"/>
      <c r="S10" s="680"/>
    </row>
    <row r="11" spans="1:21" s="707" customFormat="1" ht="19.5" customHeight="1" x14ac:dyDescent="0.2">
      <c r="A11" s="701">
        <f>Led!D7</f>
        <v>6</v>
      </c>
      <c r="B11" s="702">
        <f>Led!E7</f>
        <v>1</v>
      </c>
      <c r="C11" s="703">
        <f>IF(ISNUMBER(A11),Led!F7,"")</f>
        <v>5</v>
      </c>
      <c r="D11" s="740" t="str">
        <f>Led!CS7</f>
        <v>1-05</v>
      </c>
      <c r="E11" s="704"/>
      <c r="F11" s="704"/>
      <c r="G11" s="704"/>
      <c r="H11" s="704"/>
      <c r="I11" s="704"/>
      <c r="J11" s="704"/>
      <c r="K11" s="704"/>
      <c r="L11" s="745" t="s">
        <v>461</v>
      </c>
      <c r="M11" s="746" t="s">
        <v>168</v>
      </c>
      <c r="P11" s="727"/>
      <c r="R11" s="680"/>
      <c r="S11" s="680"/>
    </row>
    <row r="12" spans="1:21" s="707" customFormat="1" ht="19.5" customHeight="1" x14ac:dyDescent="0.2">
      <c r="A12" s="701">
        <f>Led!D8</f>
        <v>7</v>
      </c>
      <c r="B12" s="702">
        <f>Led!E8</f>
        <v>1</v>
      </c>
      <c r="C12" s="703">
        <f>IF(ISNUMBER(A12),Led!F8,"")</f>
        <v>2</v>
      </c>
      <c r="D12" s="740" t="str">
        <f>Led!CS8</f>
        <v>1-02</v>
      </c>
      <c r="E12" s="704"/>
      <c r="F12" s="704"/>
      <c r="G12" s="704"/>
      <c r="H12" s="704"/>
      <c r="I12" s="704"/>
      <c r="J12" s="704"/>
      <c r="K12" s="704"/>
      <c r="L12" s="745" t="s">
        <v>462</v>
      </c>
      <c r="M12" s="746" t="s">
        <v>463</v>
      </c>
      <c r="R12" s="680"/>
      <c r="S12" s="680"/>
    </row>
    <row r="13" spans="1:21" s="707" customFormat="1" ht="19.5" customHeight="1" x14ac:dyDescent="0.2">
      <c r="A13" s="701">
        <f>Led!D9</f>
        <v>8</v>
      </c>
      <c r="B13" s="702">
        <f>Led!E9</f>
        <v>2</v>
      </c>
      <c r="C13" s="703">
        <f>IF(ISNUMBER(A13),Led!F9,"")</f>
        <v>3</v>
      </c>
      <c r="D13" s="740" t="str">
        <f>Led!CS9</f>
        <v>2-03</v>
      </c>
      <c r="E13" s="704"/>
      <c r="F13" s="704"/>
      <c r="G13" s="704"/>
      <c r="H13" s="704"/>
      <c r="I13" s="704"/>
      <c r="J13" s="704"/>
      <c r="K13" s="704"/>
      <c r="L13" s="745" t="s">
        <v>464</v>
      </c>
      <c r="M13" s="746" t="s">
        <v>465</v>
      </c>
      <c r="R13" s="680"/>
      <c r="S13" s="680"/>
    </row>
    <row r="14" spans="1:21" s="707" customFormat="1" ht="19.5" customHeight="1" x14ac:dyDescent="0.2">
      <c r="A14" s="701">
        <f>Led!D10</f>
        <v>9</v>
      </c>
      <c r="B14" s="702">
        <f>Led!E10</f>
        <v>2</v>
      </c>
      <c r="C14" s="703">
        <f>IF(ISNUMBER(A14),Led!F10,"")</f>
        <v>6</v>
      </c>
      <c r="D14" s="740" t="str">
        <f>Led!CS10</f>
        <v>2-06</v>
      </c>
      <c r="E14" s="704"/>
      <c r="F14" s="704"/>
      <c r="G14" s="704"/>
      <c r="H14" s="704"/>
      <c r="I14" s="704"/>
      <c r="J14" s="704"/>
      <c r="K14" s="704"/>
      <c r="L14" s="747" t="s">
        <v>466</v>
      </c>
      <c r="M14" s="748" t="s">
        <v>408</v>
      </c>
      <c r="R14" s="680"/>
      <c r="S14" s="680"/>
    </row>
    <row r="15" spans="1:21" s="707" customFormat="1" ht="19.5" customHeight="1" x14ac:dyDescent="0.2">
      <c r="A15" s="701">
        <f>Led!D11</f>
        <v>10</v>
      </c>
      <c r="B15" s="702">
        <f>Led!E11</f>
        <v>2</v>
      </c>
      <c r="C15" s="703">
        <f>IF(ISNUMBER(A15),Led!F11,"")</f>
        <v>2</v>
      </c>
      <c r="D15" s="740" t="str">
        <f>Led!CS11</f>
        <v>2-02</v>
      </c>
      <c r="E15" s="704"/>
      <c r="F15" s="704"/>
      <c r="G15" s="704"/>
      <c r="H15" s="704"/>
      <c r="I15" s="704"/>
      <c r="J15" s="704"/>
      <c r="K15" s="704"/>
      <c r="L15" s="716" t="s">
        <v>482</v>
      </c>
      <c r="M15" s="717" t="s">
        <v>811</v>
      </c>
      <c r="R15" s="680"/>
      <c r="S15" s="680"/>
    </row>
    <row r="16" spans="1:21" s="707" customFormat="1" ht="19.5" customHeight="1" x14ac:dyDescent="0.2">
      <c r="A16" s="701">
        <f>Led!D12</f>
        <v>11</v>
      </c>
      <c r="B16" s="702">
        <f>Led!E12</f>
        <v>2</v>
      </c>
      <c r="C16" s="703">
        <f>IF(ISNUMBER(A16),Led!F12,"")</f>
        <v>7</v>
      </c>
      <c r="D16" s="740" t="str">
        <f>Led!CS12</f>
        <v>2-07</v>
      </c>
      <c r="E16" s="704"/>
      <c r="F16" s="704"/>
      <c r="G16" s="704"/>
      <c r="H16" s="704"/>
      <c r="I16" s="704"/>
      <c r="J16" s="704"/>
      <c r="K16" s="704"/>
      <c r="L16" s="718">
        <v>10</v>
      </c>
      <c r="M16" s="719" t="s">
        <v>812</v>
      </c>
      <c r="P16" s="727"/>
      <c r="R16" s="680"/>
      <c r="S16" s="680"/>
    </row>
    <row r="17" spans="1:19" s="707" customFormat="1" ht="19.5" customHeight="1" x14ac:dyDescent="0.2">
      <c r="A17" s="701">
        <f>Led!D13</f>
        <v>12</v>
      </c>
      <c r="B17" s="702">
        <f>Led!E13</f>
        <v>2</v>
      </c>
      <c r="C17" s="703">
        <f>IF(ISNUMBER(A17),Led!F13,"")</f>
        <v>4</v>
      </c>
      <c r="D17" s="740" t="str">
        <f>Led!CS13</f>
        <v>2-04</v>
      </c>
      <c r="E17" s="704"/>
      <c r="F17" s="704"/>
      <c r="G17" s="704"/>
      <c r="H17" s="704"/>
      <c r="I17" s="704"/>
      <c r="J17" s="704"/>
      <c r="K17" s="704"/>
      <c r="L17" s="718" t="s">
        <v>813</v>
      </c>
      <c r="M17" s="719" t="s">
        <v>814</v>
      </c>
      <c r="P17" s="727"/>
      <c r="R17" s="680"/>
      <c r="S17" s="680"/>
    </row>
    <row r="18" spans="1:19" s="707" customFormat="1" ht="19.5" customHeight="1" x14ac:dyDescent="0.2">
      <c r="A18" s="701">
        <f>Led!D14</f>
        <v>13</v>
      </c>
      <c r="B18" s="702">
        <f>Led!E14</f>
        <v>2</v>
      </c>
      <c r="C18" s="703">
        <f>IF(ISNUMBER(A18),Led!F14,"")</f>
        <v>1</v>
      </c>
      <c r="D18" s="740" t="str">
        <f>Led!CS14</f>
        <v>2-01</v>
      </c>
      <c r="E18" s="704"/>
      <c r="F18" s="704"/>
      <c r="G18" s="704"/>
      <c r="H18" s="704"/>
      <c r="I18" s="704"/>
      <c r="J18" s="704"/>
      <c r="K18" s="704"/>
      <c r="L18" s="718" t="s">
        <v>815</v>
      </c>
      <c r="M18" s="719" t="s">
        <v>816</v>
      </c>
      <c r="P18" s="727"/>
      <c r="R18" s="680"/>
      <c r="S18" s="680"/>
    </row>
    <row r="19" spans="1:19" s="707" customFormat="1" ht="19.5" customHeight="1" x14ac:dyDescent="0.2">
      <c r="A19" s="701">
        <f>Led!D15</f>
        <v>14</v>
      </c>
      <c r="B19" s="702">
        <f>Led!E15</f>
        <v>2</v>
      </c>
      <c r="C19" s="703">
        <f>IF(ISNUMBER(A19),Led!F15,"")</f>
        <v>5</v>
      </c>
      <c r="D19" s="740" t="str">
        <f>Led!CS15</f>
        <v>2-05</v>
      </c>
      <c r="E19" s="704"/>
      <c r="F19" s="704"/>
      <c r="G19" s="704"/>
      <c r="H19" s="704"/>
      <c r="I19" s="704"/>
      <c r="J19" s="704"/>
      <c r="K19" s="704"/>
      <c r="L19" s="718">
        <v>30</v>
      </c>
      <c r="M19" s="719" t="s">
        <v>817</v>
      </c>
      <c r="P19" s="727"/>
      <c r="R19" s="680"/>
      <c r="S19" s="680"/>
    </row>
    <row r="20" spans="1:19" s="707" customFormat="1" ht="19.5" customHeight="1" x14ac:dyDescent="0.2">
      <c r="A20" s="701">
        <f>Led!D16</f>
        <v>15</v>
      </c>
      <c r="B20" s="702">
        <f>Led!E16</f>
        <v>3</v>
      </c>
      <c r="C20" s="703">
        <f>IF(ISNUMBER(A20),Led!F16,"")</f>
        <v>1</v>
      </c>
      <c r="D20" s="740" t="str">
        <f>Led!CS16</f>
        <v>3-01</v>
      </c>
      <c r="E20" s="704"/>
      <c r="F20" s="704"/>
      <c r="G20" s="704"/>
      <c r="H20" s="704"/>
      <c r="I20" s="704"/>
      <c r="J20" s="704"/>
      <c r="K20" s="704"/>
      <c r="L20" s="718" t="s">
        <v>818</v>
      </c>
      <c r="M20" s="719" t="s">
        <v>819</v>
      </c>
      <c r="P20" s="727"/>
      <c r="R20" s="680"/>
      <c r="S20" s="680"/>
    </row>
    <row r="21" spans="1:19" s="707" customFormat="1" ht="19.5" customHeight="1" x14ac:dyDescent="0.2">
      <c r="A21" s="701">
        <f>Led!D17</f>
        <v>16</v>
      </c>
      <c r="B21" s="702">
        <f>Led!E17</f>
        <v>3</v>
      </c>
      <c r="C21" s="703">
        <f>IF(ISNUMBER(A21),Led!F17,"")</f>
        <v>2</v>
      </c>
      <c r="D21" s="740" t="str">
        <f>Led!CS17</f>
        <v>3-02</v>
      </c>
      <c r="E21" s="704"/>
      <c r="F21" s="704"/>
      <c r="G21" s="704"/>
      <c r="H21" s="704"/>
      <c r="I21" s="704"/>
      <c r="J21" s="704"/>
      <c r="K21" s="704"/>
      <c r="L21" s="718" t="s">
        <v>820</v>
      </c>
      <c r="M21" s="719" t="s">
        <v>832</v>
      </c>
      <c r="P21" s="727"/>
      <c r="R21" s="680"/>
      <c r="S21" s="680"/>
    </row>
    <row r="22" spans="1:19" s="707" customFormat="1" ht="19.5" customHeight="1" x14ac:dyDescent="0.2">
      <c r="A22" s="701">
        <f>Led!D18</f>
        <v>17</v>
      </c>
      <c r="B22" s="702">
        <f>Led!E18</f>
        <v>3</v>
      </c>
      <c r="C22" s="703">
        <f>IF(ISNUMBER(A22),Led!F18,"")</f>
        <v>6</v>
      </c>
      <c r="D22" s="740" t="str">
        <f>Led!CS18</f>
        <v>3-06</v>
      </c>
      <c r="E22" s="704"/>
      <c r="F22" s="704"/>
      <c r="G22" s="704"/>
      <c r="H22" s="704"/>
      <c r="I22" s="704"/>
      <c r="J22" s="704"/>
      <c r="K22" s="704"/>
      <c r="L22" s="718" t="s">
        <v>821</v>
      </c>
      <c r="M22" s="719" t="s">
        <v>822</v>
      </c>
      <c r="P22" s="727"/>
      <c r="R22" s="680"/>
      <c r="S22" s="680"/>
    </row>
    <row r="23" spans="1:19" s="707" customFormat="1" ht="19.5" customHeight="1" x14ac:dyDescent="0.2">
      <c r="A23" s="701">
        <f>Led!D19</f>
        <v>18</v>
      </c>
      <c r="B23" s="702">
        <f>Led!E19</f>
        <v>3</v>
      </c>
      <c r="C23" s="703">
        <f>IF(ISNUMBER(A23),Led!F19,"")</f>
        <v>5</v>
      </c>
      <c r="D23" s="740" t="str">
        <f>Led!CS19</f>
        <v>3-05</v>
      </c>
      <c r="E23" s="704"/>
      <c r="F23" s="704"/>
      <c r="G23" s="704"/>
      <c r="H23" s="704"/>
      <c r="I23" s="704"/>
      <c r="J23" s="704"/>
      <c r="K23" s="704"/>
      <c r="L23" s="718" t="s">
        <v>823</v>
      </c>
      <c r="M23" s="720" t="s">
        <v>824</v>
      </c>
      <c r="P23" s="727"/>
      <c r="R23" s="680"/>
      <c r="S23" s="680"/>
    </row>
    <row r="24" spans="1:19" s="707" customFormat="1" ht="19.5" customHeight="1" x14ac:dyDescent="0.2">
      <c r="A24" s="701">
        <f>Led!D20</f>
        <v>19</v>
      </c>
      <c r="B24" s="702">
        <f>Led!E20</f>
        <v>3</v>
      </c>
      <c r="C24" s="703">
        <f>IF(ISNUMBER(A24),Led!F20,"")</f>
        <v>6</v>
      </c>
      <c r="D24" s="740" t="str">
        <f>Led!CS20</f>
        <v>3-06</v>
      </c>
      <c r="E24" s="704"/>
      <c r="F24" s="704"/>
      <c r="G24" s="704"/>
      <c r="H24" s="704"/>
      <c r="I24" s="704"/>
      <c r="J24" s="704"/>
      <c r="K24" s="704"/>
      <c r="L24" s="718" t="s">
        <v>825</v>
      </c>
      <c r="M24" s="719" t="s">
        <v>826</v>
      </c>
      <c r="P24" s="727"/>
      <c r="R24" s="680"/>
      <c r="S24" s="680"/>
    </row>
    <row r="25" spans="1:19" s="707" customFormat="1" ht="19.5" customHeight="1" x14ac:dyDescent="0.2">
      <c r="A25" s="701">
        <f>Led!D21</f>
        <v>20</v>
      </c>
      <c r="B25" s="702">
        <f>Led!E21</f>
        <v>3</v>
      </c>
      <c r="C25" s="703">
        <f>IF(ISNUMBER(A25),Led!F21,"")</f>
        <v>7</v>
      </c>
      <c r="D25" s="740" t="str">
        <f>Led!CS21</f>
        <v>3-07</v>
      </c>
      <c r="E25" s="704"/>
      <c r="F25" s="704"/>
      <c r="G25" s="704"/>
      <c r="H25" s="704"/>
      <c r="I25" s="704"/>
      <c r="J25" s="704"/>
      <c r="K25" s="704"/>
      <c r="L25" s="718" t="s">
        <v>827</v>
      </c>
      <c r="M25" s="719" t="s">
        <v>828</v>
      </c>
      <c r="P25" s="727"/>
      <c r="R25" s="680"/>
      <c r="S25" s="680"/>
    </row>
    <row r="26" spans="1:19" s="707" customFormat="1" ht="19.5" customHeight="1" x14ac:dyDescent="0.2">
      <c r="A26" s="701">
        <f>Led!D22</f>
        <v>21</v>
      </c>
      <c r="B26" s="702">
        <f>Led!E22</f>
        <v>3</v>
      </c>
      <c r="C26" s="703">
        <f>IF(ISNUMBER(A26),Led!F22,"")</f>
        <v>4</v>
      </c>
      <c r="D26" s="740" t="str">
        <f>Led!CS22</f>
        <v>3-04</v>
      </c>
      <c r="E26" s="704"/>
      <c r="F26" s="704"/>
      <c r="G26" s="704"/>
      <c r="H26" s="704"/>
      <c r="I26" s="704"/>
      <c r="J26" s="704"/>
      <c r="K26" s="704"/>
      <c r="L26" s="718" t="s">
        <v>829</v>
      </c>
      <c r="M26" s="719" t="s">
        <v>830</v>
      </c>
      <c r="P26" s="727"/>
      <c r="R26" s="680"/>
      <c r="S26" s="680"/>
    </row>
    <row r="27" spans="1:19" s="707" customFormat="1" ht="19.5" customHeight="1" x14ac:dyDescent="0.2">
      <c r="A27" s="701">
        <f>Led!D23</f>
        <v>22</v>
      </c>
      <c r="B27" s="702">
        <f>Led!E23</f>
        <v>4</v>
      </c>
      <c r="C27" s="703">
        <f>IF(ISNUMBER(A27),Led!F23,"")</f>
        <v>5</v>
      </c>
      <c r="D27" s="740" t="str">
        <f>Led!CS23</f>
        <v>4-05</v>
      </c>
      <c r="E27" s="704"/>
      <c r="F27" s="704"/>
      <c r="G27" s="704"/>
      <c r="H27" s="704"/>
      <c r="I27" s="704"/>
      <c r="J27" s="704"/>
      <c r="K27" s="704"/>
      <c r="L27" s="721" t="s">
        <v>831</v>
      </c>
      <c r="M27" s="722" t="s">
        <v>502</v>
      </c>
      <c r="P27" s="727"/>
      <c r="R27" s="680"/>
      <c r="S27" s="680"/>
    </row>
    <row r="28" spans="1:19" s="707" customFormat="1" ht="19.5" customHeight="1" x14ac:dyDescent="0.2">
      <c r="A28" s="701">
        <f>Led!D24</f>
        <v>23</v>
      </c>
      <c r="B28" s="702">
        <f>Led!E24</f>
        <v>4</v>
      </c>
      <c r="C28" s="703">
        <f>IF(ISNUMBER(A28),Led!F24,"")</f>
        <v>7</v>
      </c>
      <c r="D28" s="740" t="str">
        <f>Led!CS24</f>
        <v>4-07</v>
      </c>
      <c r="E28" s="704"/>
      <c r="F28" s="704"/>
      <c r="G28" s="704"/>
      <c r="H28" s="704"/>
      <c r="I28" s="704"/>
      <c r="J28" s="704"/>
      <c r="K28" s="704"/>
      <c r="L28" s="705"/>
      <c r="M28" s="706"/>
      <c r="P28" s="727"/>
      <c r="R28" s="680"/>
      <c r="S28" s="680"/>
    </row>
    <row r="29" spans="1:19" s="707" customFormat="1" ht="19.5" customHeight="1" x14ac:dyDescent="0.2">
      <c r="A29" s="701">
        <f>Led!D25</f>
        <v>24</v>
      </c>
      <c r="B29" s="702">
        <f>Led!E25</f>
        <v>4</v>
      </c>
      <c r="C29" s="703">
        <f>IF(ISNUMBER(A29),Led!F25,"")</f>
        <v>1</v>
      </c>
      <c r="D29" s="740" t="str">
        <f>Led!CS25</f>
        <v>4-01</v>
      </c>
      <c r="E29" s="704"/>
      <c r="F29" s="704"/>
      <c r="G29" s="704"/>
      <c r="H29" s="704"/>
      <c r="I29" s="704"/>
      <c r="J29" s="704"/>
      <c r="K29" s="704"/>
      <c r="L29" s="723"/>
      <c r="M29" s="724"/>
      <c r="P29" s="727"/>
      <c r="R29" s="680"/>
      <c r="S29" s="680"/>
    </row>
    <row r="30" spans="1:19" s="707" customFormat="1" ht="19.5" customHeight="1" x14ac:dyDescent="0.2">
      <c r="A30" s="701">
        <f>Led!D26</f>
        <v>25</v>
      </c>
      <c r="B30" s="702">
        <f>Led!E26</f>
        <v>4</v>
      </c>
      <c r="C30" s="703">
        <f>IF(ISNUMBER(A30),Led!F26,"")</f>
        <v>4</v>
      </c>
      <c r="D30" s="740" t="str">
        <f>Led!CS26</f>
        <v>4-04</v>
      </c>
      <c r="E30" s="704"/>
      <c r="F30" s="704"/>
      <c r="G30" s="704"/>
      <c r="H30" s="704"/>
      <c r="I30" s="704"/>
      <c r="J30" s="704"/>
      <c r="K30" s="704"/>
      <c r="L30" s="723"/>
      <c r="M30" s="724"/>
      <c r="P30" s="727"/>
      <c r="R30" s="680"/>
      <c r="S30" s="680"/>
    </row>
    <row r="31" spans="1:19" s="707" customFormat="1" ht="19.5" customHeight="1" x14ac:dyDescent="0.2">
      <c r="A31" s="701">
        <f>Led!D27</f>
        <v>26</v>
      </c>
      <c r="B31" s="702">
        <f>Led!E27</f>
        <v>4</v>
      </c>
      <c r="C31" s="703">
        <f>IF(ISNUMBER(A31),Led!F27,"")</f>
        <v>2</v>
      </c>
      <c r="D31" s="740" t="str">
        <f>Led!CS27</f>
        <v>4-02</v>
      </c>
      <c r="E31" s="704"/>
      <c r="F31" s="704"/>
      <c r="G31" s="704"/>
      <c r="H31" s="704"/>
      <c r="I31" s="704"/>
      <c r="J31" s="704"/>
      <c r="K31" s="704"/>
      <c r="L31" s="723"/>
      <c r="M31" s="724"/>
      <c r="P31" s="727"/>
      <c r="R31" s="680"/>
      <c r="S31" s="680"/>
    </row>
    <row r="32" spans="1:19" s="707" customFormat="1" ht="19.5" customHeight="1" x14ac:dyDescent="0.2">
      <c r="A32" s="701">
        <f>Led!D28</f>
        <v>27</v>
      </c>
      <c r="B32" s="702">
        <f>Led!E28</f>
        <v>4</v>
      </c>
      <c r="C32" s="703">
        <f>IF(ISNUMBER(A32),Led!F28,"")</f>
        <v>6</v>
      </c>
      <c r="D32" s="740" t="str">
        <f>Led!CS28</f>
        <v>4-06</v>
      </c>
      <c r="E32" s="704"/>
      <c r="F32" s="704"/>
      <c r="G32" s="704"/>
      <c r="H32" s="704"/>
      <c r="I32" s="704"/>
      <c r="J32" s="704"/>
      <c r="K32" s="704"/>
      <c r="L32" s="723"/>
      <c r="M32" s="724"/>
      <c r="P32" s="727"/>
      <c r="R32" s="680"/>
      <c r="S32" s="680"/>
    </row>
    <row r="33" spans="1:19" s="707" customFormat="1" ht="19.5" customHeight="1" x14ac:dyDescent="0.2">
      <c r="A33" s="701">
        <f>Led!D29</f>
        <v>28</v>
      </c>
      <c r="B33" s="702">
        <f>Led!E29</f>
        <v>4</v>
      </c>
      <c r="C33" s="703">
        <f>IF(ISNUMBER(A33),Led!F29,"")</f>
        <v>3</v>
      </c>
      <c r="D33" s="740" t="str">
        <f>Led!CS29</f>
        <v>4-03</v>
      </c>
      <c r="E33" s="704"/>
      <c r="F33" s="704"/>
      <c r="G33" s="704"/>
      <c r="H33" s="704"/>
      <c r="I33" s="704"/>
      <c r="J33" s="704"/>
      <c r="K33" s="704"/>
      <c r="L33" s="723"/>
      <c r="M33" s="724"/>
      <c r="P33" s="727"/>
      <c r="R33" s="680"/>
      <c r="S33" s="680"/>
    </row>
    <row r="34" spans="1:19" s="707" customFormat="1" ht="19.5" customHeight="1" x14ac:dyDescent="0.2">
      <c r="A34" s="701" t="str">
        <f>Led!D30</f>
        <v/>
      </c>
      <c r="B34" s="702" t="str">
        <f>Led!E30</f>
        <v/>
      </c>
      <c r="C34" s="703" t="str">
        <f>IF(ISNUMBER(A34),Led!F30,"")</f>
        <v/>
      </c>
      <c r="D34" s="740" t="str">
        <f>Led!CS30</f>
        <v/>
      </c>
      <c r="E34" s="704"/>
      <c r="F34" s="704"/>
      <c r="G34" s="704"/>
      <c r="H34" s="704"/>
      <c r="I34" s="704"/>
      <c r="J34" s="704"/>
      <c r="K34" s="704"/>
      <c r="L34" s="723"/>
      <c r="M34" s="724"/>
      <c r="P34" s="727"/>
      <c r="R34" s="680"/>
      <c r="S34" s="680"/>
    </row>
    <row r="35" spans="1:19" s="707" customFormat="1" ht="19.5" customHeight="1" x14ac:dyDescent="0.2">
      <c r="A35" s="701" t="str">
        <f>Led!D31</f>
        <v/>
      </c>
      <c r="B35" s="702" t="str">
        <f>Led!E31</f>
        <v/>
      </c>
      <c r="C35" s="703" t="str">
        <f>IF(ISNUMBER(A35),Led!F31,"")</f>
        <v/>
      </c>
      <c r="D35" s="740" t="str">
        <f>Led!CS31</f>
        <v/>
      </c>
      <c r="E35" s="704"/>
      <c r="F35" s="704"/>
      <c r="G35" s="704"/>
      <c r="H35" s="704"/>
      <c r="I35" s="704"/>
      <c r="J35" s="704"/>
      <c r="K35" s="704"/>
      <c r="L35" s="723"/>
      <c r="M35" s="724"/>
      <c r="P35" s="727"/>
      <c r="R35" s="680"/>
      <c r="S35" s="680"/>
    </row>
    <row r="36" spans="1:19" s="707" customFormat="1" ht="19.5" customHeight="1" x14ac:dyDescent="0.2">
      <c r="A36" s="701" t="str">
        <f>Led!D32</f>
        <v/>
      </c>
      <c r="B36" s="702" t="str">
        <f>Led!E32</f>
        <v/>
      </c>
      <c r="C36" s="703" t="str">
        <f>IF(ISNUMBER(A36),Led!F32,"")</f>
        <v/>
      </c>
      <c r="D36" s="740" t="str">
        <f>Led!CS32</f>
        <v/>
      </c>
      <c r="E36" s="704"/>
      <c r="F36" s="704"/>
      <c r="G36" s="704"/>
      <c r="H36" s="704"/>
      <c r="I36" s="704"/>
      <c r="J36" s="704"/>
      <c r="K36" s="704"/>
      <c r="L36" s="723"/>
      <c r="M36" s="724"/>
      <c r="P36" s="727"/>
      <c r="R36" s="680"/>
      <c r="S36" s="680"/>
    </row>
    <row r="37" spans="1:19" s="707" customFormat="1" ht="19.5" customHeight="1" x14ac:dyDescent="0.2">
      <c r="A37" s="701" t="str">
        <f>Led!D33</f>
        <v/>
      </c>
      <c r="B37" s="702" t="str">
        <f>Led!E33</f>
        <v/>
      </c>
      <c r="C37" s="703" t="str">
        <f>IF(ISNUMBER(A37),Led!F33,"")</f>
        <v/>
      </c>
      <c r="D37" s="740" t="str">
        <f>Led!CS33</f>
        <v/>
      </c>
      <c r="E37" s="704"/>
      <c r="F37" s="704"/>
      <c r="G37" s="704"/>
      <c r="H37" s="704"/>
      <c r="I37" s="704"/>
      <c r="J37" s="704"/>
      <c r="K37" s="704"/>
      <c r="L37" s="709"/>
      <c r="M37" s="710"/>
      <c r="P37" s="727"/>
      <c r="R37" s="680"/>
      <c r="S37" s="680"/>
    </row>
    <row r="38" spans="1:19" s="707" customFormat="1" ht="19.5" customHeight="1" x14ac:dyDescent="0.2">
      <c r="A38" s="701" t="str">
        <f>Led!D34</f>
        <v/>
      </c>
      <c r="B38" s="702" t="str">
        <f>Led!E34</f>
        <v/>
      </c>
      <c r="C38" s="703" t="str">
        <f>IF(ISNUMBER(A38),Led!F34,"")</f>
        <v/>
      </c>
      <c r="D38" s="740" t="str">
        <f>Led!CS34</f>
        <v/>
      </c>
      <c r="E38" s="704"/>
      <c r="F38" s="704"/>
      <c r="G38" s="704"/>
      <c r="H38" s="704"/>
      <c r="I38" s="704"/>
      <c r="J38" s="704"/>
      <c r="K38" s="704"/>
      <c r="L38" s="711"/>
      <c r="M38" s="706"/>
      <c r="P38" s="727"/>
    </row>
    <row r="39" spans="1:19" s="707" customFormat="1" ht="19.5" customHeight="1" x14ac:dyDescent="0.2">
      <c r="A39" s="701" t="str">
        <f>Led!D35</f>
        <v/>
      </c>
      <c r="B39" s="702" t="str">
        <f>Led!E35</f>
        <v/>
      </c>
      <c r="C39" s="703" t="str">
        <f>IF(ISNUMBER(A39),Led!F35,"")</f>
        <v/>
      </c>
      <c r="D39" s="740" t="str">
        <f>Led!CS35</f>
        <v/>
      </c>
      <c r="E39" s="704"/>
      <c r="F39" s="704"/>
      <c r="G39" s="704"/>
      <c r="H39" s="704"/>
      <c r="I39" s="704"/>
      <c r="J39" s="704"/>
      <c r="K39" s="704"/>
      <c r="L39" s="711"/>
      <c r="M39" s="706"/>
      <c r="P39" s="727"/>
    </row>
    <row r="40" spans="1:19" s="707" customFormat="1" ht="19.5" customHeight="1" x14ac:dyDescent="0.2">
      <c r="A40" s="701" t="str">
        <f>Led!D36</f>
        <v/>
      </c>
      <c r="B40" s="702" t="str">
        <f>Led!E36</f>
        <v/>
      </c>
      <c r="C40" s="703" t="str">
        <f>IF(ISNUMBER(A40),Led!F36,"")</f>
        <v/>
      </c>
      <c r="D40" s="740" t="str">
        <f>Led!CS36</f>
        <v/>
      </c>
      <c r="E40" s="704"/>
      <c r="F40" s="704"/>
      <c r="G40" s="704"/>
      <c r="H40" s="704"/>
      <c r="I40" s="704"/>
      <c r="J40" s="704"/>
      <c r="K40" s="704"/>
      <c r="L40" s="711"/>
      <c r="M40" s="706"/>
      <c r="P40" s="727"/>
    </row>
    <row r="41" spans="1:19" s="707" customFormat="1" ht="19.5" customHeight="1" x14ac:dyDescent="0.2">
      <c r="A41" s="701" t="str">
        <f>Led!D37</f>
        <v/>
      </c>
      <c r="B41" s="702" t="str">
        <f>Led!E37</f>
        <v/>
      </c>
      <c r="C41" s="703" t="str">
        <f>IF(ISNUMBER(A41),Led!F37,"")</f>
        <v/>
      </c>
      <c r="D41" s="740" t="str">
        <f>Led!CS37</f>
        <v/>
      </c>
      <c r="E41" s="704"/>
      <c r="F41" s="704"/>
      <c r="G41" s="704"/>
      <c r="H41" s="704"/>
      <c r="I41" s="704"/>
      <c r="J41" s="704"/>
      <c r="K41" s="704"/>
      <c r="L41" s="711"/>
      <c r="M41" s="706"/>
      <c r="P41" s="727"/>
    </row>
    <row r="42" spans="1:19" s="707" customFormat="1" ht="19.5" customHeight="1" x14ac:dyDescent="0.2">
      <c r="A42" s="701" t="str">
        <f>Led!D38</f>
        <v/>
      </c>
      <c r="B42" s="702" t="str">
        <f>Led!E38</f>
        <v/>
      </c>
      <c r="C42" s="703" t="str">
        <f>IF(ISNUMBER(A42),Led!F38,"")</f>
        <v/>
      </c>
      <c r="D42" s="740" t="str">
        <f>Led!CS38</f>
        <v/>
      </c>
      <c r="E42" s="704"/>
      <c r="F42" s="704"/>
      <c r="G42" s="704"/>
      <c r="H42" s="704"/>
      <c r="I42" s="704"/>
      <c r="J42" s="704"/>
      <c r="K42" s="704"/>
      <c r="L42" s="711"/>
      <c r="M42" s="706"/>
      <c r="P42" s="727"/>
    </row>
    <row r="43" spans="1:19" s="707" customFormat="1" ht="19.5" customHeight="1" x14ac:dyDescent="0.2">
      <c r="A43" s="701" t="str">
        <f>Led!D39</f>
        <v/>
      </c>
      <c r="B43" s="702" t="str">
        <f>Led!E39</f>
        <v/>
      </c>
      <c r="C43" s="703" t="str">
        <f>IF(ISNUMBER(A43),Led!F39,"")</f>
        <v/>
      </c>
      <c r="D43" s="740" t="str">
        <f>Led!CS39</f>
        <v/>
      </c>
      <c r="E43" s="704"/>
      <c r="F43" s="704"/>
      <c r="G43" s="704"/>
      <c r="H43" s="704"/>
      <c r="I43" s="704"/>
      <c r="J43" s="704"/>
      <c r="K43" s="704"/>
      <c r="L43" s="711"/>
      <c r="M43" s="706"/>
      <c r="P43" s="727"/>
    </row>
    <row r="44" spans="1:19" s="707" customFormat="1" ht="19.5" customHeight="1" x14ac:dyDescent="0.2">
      <c r="A44" s="701" t="str">
        <f>Led!D40</f>
        <v/>
      </c>
      <c r="B44" s="702" t="str">
        <f>Led!E40</f>
        <v/>
      </c>
      <c r="C44" s="703" t="str">
        <f>IF(ISNUMBER(A44),Led!F40,"")</f>
        <v/>
      </c>
      <c r="D44" s="740" t="str">
        <f>Led!CS40</f>
        <v/>
      </c>
      <c r="E44" s="704"/>
      <c r="F44" s="704"/>
      <c r="G44" s="704"/>
      <c r="H44" s="704"/>
      <c r="I44" s="704"/>
      <c r="J44" s="704"/>
      <c r="K44" s="704"/>
      <c r="L44" s="711"/>
      <c r="M44" s="706"/>
      <c r="P44" s="727"/>
    </row>
    <row r="45" spans="1:19" s="707" customFormat="1" ht="19.5" customHeight="1" x14ac:dyDescent="0.2">
      <c r="A45" s="701" t="str">
        <f>Led!D41</f>
        <v/>
      </c>
      <c r="B45" s="702" t="str">
        <f>Led!E41</f>
        <v/>
      </c>
      <c r="C45" s="703" t="str">
        <f>IF(ISNUMBER(A45),Led!F41,"")</f>
        <v/>
      </c>
      <c r="D45" s="740" t="str">
        <f>Led!CS41</f>
        <v/>
      </c>
      <c r="E45" s="704"/>
      <c r="F45" s="704"/>
      <c r="G45" s="704"/>
      <c r="H45" s="704"/>
      <c r="I45" s="704"/>
      <c r="J45" s="704"/>
      <c r="K45" s="704"/>
      <c r="L45" s="723"/>
      <c r="M45" s="724"/>
      <c r="P45" s="727"/>
    </row>
    <row r="46" spans="1:19" s="707" customFormat="1" ht="19.5" customHeight="1" x14ac:dyDescent="0.2">
      <c r="A46" s="701" t="str">
        <f>Led!D42</f>
        <v/>
      </c>
      <c r="B46" s="702" t="str">
        <f>Led!E42</f>
        <v/>
      </c>
      <c r="C46" s="703" t="str">
        <f>IF(ISNUMBER(A46),Led!F42,"")</f>
        <v/>
      </c>
      <c r="D46" s="740" t="str">
        <f>Led!CS42</f>
        <v/>
      </c>
      <c r="E46" s="704"/>
      <c r="F46" s="704"/>
      <c r="G46" s="704"/>
      <c r="H46" s="704"/>
      <c r="I46" s="704"/>
      <c r="J46" s="704"/>
      <c r="K46" s="704"/>
      <c r="L46" s="723"/>
      <c r="M46" s="724"/>
      <c r="P46" s="727"/>
    </row>
    <row r="47" spans="1:19" s="707" customFormat="1" ht="19.5" customHeight="1" x14ac:dyDescent="0.2">
      <c r="A47" s="701" t="str">
        <f>Led!D43</f>
        <v/>
      </c>
      <c r="B47" s="702" t="str">
        <f>Led!E43</f>
        <v/>
      </c>
      <c r="C47" s="703" t="str">
        <f>IF(ISNUMBER(A47),Led!F43,"")</f>
        <v/>
      </c>
      <c r="D47" s="740" t="str">
        <f>Led!CS43</f>
        <v/>
      </c>
      <c r="E47" s="704"/>
      <c r="F47" s="704"/>
      <c r="G47" s="704"/>
      <c r="H47" s="704"/>
      <c r="I47" s="704"/>
      <c r="J47" s="704"/>
      <c r="K47" s="704"/>
      <c r="L47" s="723"/>
      <c r="M47" s="724"/>
      <c r="P47" s="727"/>
    </row>
    <row r="48" spans="1:19" s="707" customFormat="1" ht="19.5" customHeight="1" x14ac:dyDescent="0.2">
      <c r="A48" s="701" t="str">
        <f>Led!D44</f>
        <v/>
      </c>
      <c r="B48" s="702" t="str">
        <f>Led!E44</f>
        <v/>
      </c>
      <c r="C48" s="703" t="str">
        <f>IF(ISNUMBER(A48),Led!F44,"")</f>
        <v/>
      </c>
      <c r="D48" s="740" t="str">
        <f>Led!CS44</f>
        <v/>
      </c>
      <c r="E48" s="704"/>
      <c r="F48" s="704"/>
      <c r="G48" s="704"/>
      <c r="H48" s="708"/>
      <c r="I48" s="704"/>
      <c r="J48" s="704"/>
      <c r="K48" s="704"/>
      <c r="L48" s="723"/>
      <c r="M48" s="724"/>
      <c r="P48" s="727"/>
    </row>
    <row r="49" spans="1:16" s="707" customFormat="1" ht="19.5" customHeight="1" x14ac:dyDescent="0.2">
      <c r="A49" s="701" t="str">
        <f>Led!D45</f>
        <v/>
      </c>
      <c r="B49" s="702" t="str">
        <f>Led!E45</f>
        <v/>
      </c>
      <c r="C49" s="703" t="str">
        <f>IF(ISNUMBER(A49),Led!F45,"")</f>
        <v/>
      </c>
      <c r="D49" s="740" t="str">
        <f>Led!CS45</f>
        <v/>
      </c>
      <c r="E49" s="704"/>
      <c r="F49" s="704"/>
      <c r="G49" s="704"/>
      <c r="H49" s="704"/>
      <c r="I49" s="704"/>
      <c r="J49" s="704"/>
      <c r="K49" s="704"/>
      <c r="L49" s="723"/>
      <c r="M49" s="724"/>
      <c r="P49" s="727"/>
    </row>
    <row r="50" spans="1:16" s="707" customFormat="1" ht="19.5" customHeight="1" x14ac:dyDescent="0.2">
      <c r="A50" s="701" t="str">
        <f>Led!D46</f>
        <v/>
      </c>
      <c r="B50" s="702" t="str">
        <f>Led!E46</f>
        <v/>
      </c>
      <c r="C50" s="703" t="str">
        <f>IF(ISNUMBER(A50),Led!F46,"")</f>
        <v/>
      </c>
      <c r="D50" s="740" t="str">
        <f>Led!CS46</f>
        <v/>
      </c>
      <c r="E50" s="704"/>
      <c r="F50" s="704"/>
      <c r="G50" s="704"/>
      <c r="H50" s="704"/>
      <c r="I50" s="704"/>
      <c r="J50" s="704"/>
      <c r="K50" s="704"/>
      <c r="L50" s="723"/>
      <c r="M50" s="724"/>
      <c r="P50" s="727"/>
    </row>
    <row r="51" spans="1:16" s="707" customFormat="1" ht="19.5" customHeight="1" x14ac:dyDescent="0.2">
      <c r="A51" s="701" t="str">
        <f>Led!D47</f>
        <v/>
      </c>
      <c r="B51" s="702" t="str">
        <f>Led!E47</f>
        <v/>
      </c>
      <c r="C51" s="703" t="str">
        <f>IF(ISNUMBER(A51),Led!F47,"")</f>
        <v/>
      </c>
      <c r="D51" s="740" t="str">
        <f>Led!CS47</f>
        <v/>
      </c>
      <c r="E51" s="704"/>
      <c r="F51" s="704"/>
      <c r="G51" s="704"/>
      <c r="H51" s="704"/>
      <c r="I51" s="704"/>
      <c r="J51" s="704"/>
      <c r="K51" s="704"/>
      <c r="L51" s="723"/>
      <c r="M51" s="724"/>
      <c r="P51" s="727"/>
    </row>
    <row r="52" spans="1:16" s="707" customFormat="1" ht="19.5" customHeight="1" x14ac:dyDescent="0.2">
      <c r="A52" s="701" t="str">
        <f>Led!D48</f>
        <v/>
      </c>
      <c r="B52" s="702" t="str">
        <f>Led!E48</f>
        <v/>
      </c>
      <c r="C52" s="703" t="str">
        <f>IF(ISNUMBER(A52),Led!F48,"")</f>
        <v/>
      </c>
      <c r="D52" s="740" t="str">
        <f>Led!CS48</f>
        <v/>
      </c>
      <c r="E52" s="704"/>
      <c r="F52" s="704"/>
      <c r="G52" s="704"/>
      <c r="H52" s="704"/>
      <c r="I52" s="704"/>
      <c r="J52" s="704"/>
      <c r="K52" s="704"/>
      <c r="L52" s="723"/>
      <c r="M52" s="724"/>
      <c r="P52" s="727"/>
    </row>
    <row r="53" spans="1:16" s="707" customFormat="1" ht="19.5" customHeight="1" x14ac:dyDescent="0.2">
      <c r="A53" s="701" t="str">
        <f>Led!D49</f>
        <v/>
      </c>
      <c r="B53" s="702" t="str">
        <f>Led!E49</f>
        <v/>
      </c>
      <c r="C53" s="703" t="str">
        <f>IF(ISNUMBER(A53),Led!F49,"")</f>
        <v/>
      </c>
      <c r="D53" s="740" t="str">
        <f>Led!CS49</f>
        <v/>
      </c>
      <c r="E53" s="704"/>
      <c r="F53" s="704"/>
      <c r="G53" s="704"/>
      <c r="H53" s="704"/>
      <c r="I53" s="704"/>
      <c r="J53" s="704"/>
      <c r="K53" s="704"/>
      <c r="L53" s="723"/>
      <c r="M53" s="724"/>
      <c r="P53" s="727"/>
    </row>
    <row r="54" spans="1:16" s="707" customFormat="1" ht="19.5" customHeight="1" x14ac:dyDescent="0.2">
      <c r="A54" s="701" t="str">
        <f>Led!D50</f>
        <v/>
      </c>
      <c r="B54" s="702" t="str">
        <f>Led!E50</f>
        <v/>
      </c>
      <c r="C54" s="703" t="str">
        <f>IF(ISNUMBER(A54),Led!F50,"")</f>
        <v/>
      </c>
      <c r="D54" s="740" t="str">
        <f>Led!CS50</f>
        <v/>
      </c>
      <c r="E54" s="704"/>
      <c r="F54" s="704"/>
      <c r="G54" s="704"/>
      <c r="H54" s="704"/>
      <c r="I54" s="704"/>
      <c r="J54" s="704"/>
      <c r="K54" s="704"/>
      <c r="L54" s="723"/>
      <c r="M54" s="724"/>
      <c r="P54" s="727"/>
    </row>
    <row r="55" spans="1:16" s="707" customFormat="1" ht="19.5" customHeight="1" x14ac:dyDescent="0.2">
      <c r="A55" s="701" t="str">
        <f>Led!D51</f>
        <v/>
      </c>
      <c r="B55" s="702" t="str">
        <f>Led!E51</f>
        <v/>
      </c>
      <c r="C55" s="703" t="str">
        <f>IF(ISNUMBER(A55),Led!F51,"")</f>
        <v/>
      </c>
      <c r="D55" s="740" t="str">
        <f>Led!CS51</f>
        <v/>
      </c>
      <c r="E55" s="704"/>
      <c r="F55" s="704"/>
      <c r="G55" s="704"/>
      <c r="H55" s="704"/>
      <c r="I55" s="704"/>
      <c r="J55" s="704"/>
      <c r="K55" s="704"/>
      <c r="L55" s="723"/>
      <c r="M55" s="724"/>
      <c r="P55" s="727"/>
    </row>
    <row r="56" spans="1:16" s="707" customFormat="1" ht="19.5" customHeight="1" x14ac:dyDescent="0.2">
      <c r="A56" s="701" t="str">
        <f>Led!D52</f>
        <v/>
      </c>
      <c r="B56" s="702" t="str">
        <f>Led!E52</f>
        <v/>
      </c>
      <c r="C56" s="703" t="str">
        <f>IF(ISNUMBER(A56),Led!F52,"")</f>
        <v/>
      </c>
      <c r="D56" s="740" t="str">
        <f>Led!CS52</f>
        <v/>
      </c>
      <c r="E56" s="704"/>
      <c r="F56" s="704"/>
      <c r="G56" s="704"/>
      <c r="H56" s="704"/>
      <c r="I56" s="704"/>
      <c r="J56" s="704"/>
      <c r="K56" s="704"/>
      <c r="L56" s="723"/>
      <c r="M56" s="724"/>
      <c r="P56" s="727"/>
    </row>
    <row r="57" spans="1:16" s="707" customFormat="1" ht="19.5" customHeight="1" x14ac:dyDescent="0.2">
      <c r="A57" s="701" t="str">
        <f>Led!D53</f>
        <v/>
      </c>
      <c r="B57" s="702" t="str">
        <f>Led!E53</f>
        <v/>
      </c>
      <c r="C57" s="703" t="str">
        <f>IF(ISNUMBER(A57),Led!F53,"")</f>
        <v/>
      </c>
      <c r="D57" s="740" t="str">
        <f>Led!CS53</f>
        <v/>
      </c>
      <c r="E57" s="704"/>
      <c r="F57" s="704"/>
      <c r="G57" s="704"/>
      <c r="H57" s="704"/>
      <c r="I57" s="704"/>
      <c r="J57" s="704"/>
      <c r="K57" s="704"/>
      <c r="L57" s="723"/>
      <c r="M57" s="724"/>
      <c r="P57" s="727"/>
    </row>
    <row r="58" spans="1:16" s="707" customFormat="1" ht="19.5" customHeight="1" x14ac:dyDescent="0.2">
      <c r="A58" s="701" t="str">
        <f>Led!D54</f>
        <v/>
      </c>
      <c r="B58" s="702" t="str">
        <f>Led!E54</f>
        <v/>
      </c>
      <c r="C58" s="703" t="str">
        <f>IF(ISNUMBER(A58),Led!F54,"")</f>
        <v/>
      </c>
      <c r="D58" s="740" t="str">
        <f>Led!CS54</f>
        <v/>
      </c>
      <c r="E58" s="704"/>
      <c r="F58" s="704"/>
      <c r="G58" s="704"/>
      <c r="H58" s="704"/>
      <c r="I58" s="704"/>
      <c r="J58" s="704"/>
      <c r="K58" s="704"/>
      <c r="L58" s="723"/>
      <c r="M58" s="724"/>
      <c r="P58" s="727"/>
    </row>
    <row r="59" spans="1:16" s="707" customFormat="1" ht="19.5" customHeight="1" x14ac:dyDescent="0.2">
      <c r="A59" s="701" t="str">
        <f>Led!D55</f>
        <v/>
      </c>
      <c r="B59" s="702" t="str">
        <f>Led!E55</f>
        <v/>
      </c>
      <c r="C59" s="703" t="str">
        <f>IF(ISNUMBER(A59),Led!F55,"")</f>
        <v/>
      </c>
      <c r="D59" s="740" t="str">
        <f>Led!CS55</f>
        <v/>
      </c>
      <c r="E59" s="704"/>
      <c r="F59" s="704"/>
      <c r="G59" s="704"/>
      <c r="H59" s="704"/>
      <c r="I59" s="704"/>
      <c r="J59" s="704"/>
      <c r="K59" s="704"/>
      <c r="L59" s="723"/>
      <c r="M59" s="724"/>
      <c r="P59" s="727"/>
    </row>
    <row r="60" spans="1:16" s="707" customFormat="1" ht="19.5" customHeight="1" x14ac:dyDescent="0.2">
      <c r="A60" s="701" t="str">
        <f>Led!D56</f>
        <v/>
      </c>
      <c r="B60" s="702" t="str">
        <f>Led!E56</f>
        <v/>
      </c>
      <c r="C60" s="703" t="str">
        <f>IF(ISNUMBER(A60),Led!F56,"")</f>
        <v/>
      </c>
      <c r="D60" s="740" t="str">
        <f>Led!CS56</f>
        <v/>
      </c>
      <c r="E60" s="704"/>
      <c r="F60" s="704"/>
      <c r="G60" s="704"/>
      <c r="H60" s="704"/>
      <c r="I60" s="704"/>
      <c r="J60" s="704"/>
      <c r="K60" s="704"/>
      <c r="L60" s="723"/>
      <c r="M60" s="724"/>
      <c r="P60" s="727"/>
    </row>
    <row r="61" spans="1:16" s="707" customFormat="1" ht="19.5" customHeight="1" x14ac:dyDescent="0.2">
      <c r="A61" s="701" t="str">
        <f>Led!D57</f>
        <v/>
      </c>
      <c r="B61" s="702" t="str">
        <f>Led!E57</f>
        <v/>
      </c>
      <c r="C61" s="703" t="str">
        <f>IF(ISNUMBER(A61),Led!F57,"")</f>
        <v/>
      </c>
      <c r="D61" s="740" t="str">
        <f>Led!CS57</f>
        <v/>
      </c>
      <c r="E61" s="704"/>
      <c r="F61" s="704"/>
      <c r="G61" s="704"/>
      <c r="H61" s="704"/>
      <c r="I61" s="704"/>
      <c r="J61" s="704"/>
      <c r="K61" s="704"/>
      <c r="L61" s="723"/>
      <c r="M61" s="724"/>
      <c r="P61" s="727"/>
    </row>
    <row r="62" spans="1:16" s="707" customFormat="1" ht="19.5" customHeight="1" x14ac:dyDescent="0.2">
      <c r="A62" s="701" t="str">
        <f>Led!D58</f>
        <v/>
      </c>
      <c r="B62" s="702" t="str">
        <f>Led!E58</f>
        <v/>
      </c>
      <c r="C62" s="703" t="str">
        <f>IF(ISNUMBER(A62),Led!F58,"")</f>
        <v/>
      </c>
      <c r="D62" s="740" t="str">
        <f>Led!CS58</f>
        <v/>
      </c>
      <c r="E62" s="704"/>
      <c r="F62" s="704"/>
      <c r="G62" s="704"/>
      <c r="H62" s="704"/>
      <c r="I62" s="704"/>
      <c r="J62" s="704"/>
      <c r="K62" s="704"/>
      <c r="L62" s="723"/>
      <c r="M62" s="724"/>
      <c r="P62" s="727"/>
    </row>
    <row r="63" spans="1:16" s="707" customFormat="1" ht="19.5" customHeight="1" x14ac:dyDescent="0.2">
      <c r="A63" s="701" t="str">
        <f>Led!D59</f>
        <v/>
      </c>
      <c r="B63" s="702" t="str">
        <f>Led!E59</f>
        <v/>
      </c>
      <c r="C63" s="703" t="str">
        <f>IF(ISNUMBER(A63),Led!F59,"")</f>
        <v/>
      </c>
      <c r="D63" s="740" t="str">
        <f>Led!CS59</f>
        <v/>
      </c>
      <c r="E63" s="704"/>
      <c r="F63" s="704"/>
      <c r="G63" s="704"/>
      <c r="H63" s="704"/>
      <c r="I63" s="704"/>
      <c r="J63" s="704"/>
      <c r="K63" s="704"/>
      <c r="L63" s="723"/>
      <c r="M63" s="724"/>
      <c r="P63" s="727"/>
    </row>
    <row r="64" spans="1:16" s="707" customFormat="1" ht="19.5" customHeight="1" x14ac:dyDescent="0.2">
      <c r="A64" s="701" t="str">
        <f>Led!D60</f>
        <v/>
      </c>
      <c r="B64" s="702" t="str">
        <f>Led!E60</f>
        <v/>
      </c>
      <c r="C64" s="703" t="str">
        <f>IF(ISNUMBER(A64),Led!F60,"")</f>
        <v/>
      </c>
      <c r="D64" s="740" t="str">
        <f>Led!CS60</f>
        <v/>
      </c>
      <c r="E64" s="704"/>
      <c r="F64" s="704"/>
      <c r="G64" s="704"/>
      <c r="H64" s="704"/>
      <c r="I64" s="704"/>
      <c r="J64" s="704"/>
      <c r="K64" s="704"/>
      <c r="L64" s="723"/>
      <c r="M64" s="724"/>
      <c r="P64" s="727"/>
    </row>
    <row r="65" spans="1:16" s="707" customFormat="1" ht="19.5" customHeight="1" x14ac:dyDescent="0.2">
      <c r="A65" s="701" t="str">
        <f>Led!D61</f>
        <v/>
      </c>
      <c r="B65" s="702" t="str">
        <f>Led!E61</f>
        <v/>
      </c>
      <c r="C65" s="703" t="str">
        <f>IF(ISNUMBER(A65),Led!F61,"")</f>
        <v/>
      </c>
      <c r="D65" s="740" t="str">
        <f>Led!CS61</f>
        <v/>
      </c>
      <c r="E65" s="704"/>
      <c r="F65" s="704"/>
      <c r="G65" s="704"/>
      <c r="H65" s="704"/>
      <c r="I65" s="704"/>
      <c r="J65" s="704"/>
      <c r="K65" s="704"/>
      <c r="L65" s="723"/>
      <c r="M65" s="724"/>
      <c r="P65" s="727"/>
    </row>
    <row r="66" spans="1:16" s="707" customFormat="1" ht="19.5" customHeight="1" x14ac:dyDescent="0.2">
      <c r="A66" s="701" t="str">
        <f>Led!D62</f>
        <v/>
      </c>
      <c r="B66" s="702" t="str">
        <f>Led!E62</f>
        <v/>
      </c>
      <c r="C66" s="703" t="str">
        <f>IF(ISNUMBER(A66),Led!F62,"")</f>
        <v/>
      </c>
      <c r="D66" s="740" t="str">
        <f>Led!CS62</f>
        <v/>
      </c>
      <c r="E66" s="704"/>
      <c r="F66" s="704"/>
      <c r="G66" s="704"/>
      <c r="H66" s="704"/>
      <c r="I66" s="704"/>
      <c r="J66" s="704"/>
      <c r="K66" s="704"/>
      <c r="L66" s="723"/>
      <c r="M66" s="724"/>
      <c r="P66" s="727"/>
    </row>
    <row r="67" spans="1:16" s="707" customFormat="1" ht="19.5" customHeight="1" x14ac:dyDescent="0.2">
      <c r="A67" s="701" t="str">
        <f>Led!D63</f>
        <v/>
      </c>
      <c r="B67" s="702" t="str">
        <f>Led!E63</f>
        <v/>
      </c>
      <c r="C67" s="703" t="str">
        <f>IF(ISNUMBER(A67),Led!F63,"")</f>
        <v/>
      </c>
      <c r="D67" s="740" t="str">
        <f>Led!CS63</f>
        <v/>
      </c>
      <c r="E67" s="704"/>
      <c r="F67" s="704"/>
      <c r="G67" s="704"/>
      <c r="H67" s="704"/>
      <c r="I67" s="704"/>
      <c r="J67" s="704"/>
      <c r="K67" s="704"/>
      <c r="L67" s="723"/>
      <c r="M67" s="724"/>
      <c r="P67" s="727"/>
    </row>
    <row r="68" spans="1:16" s="707" customFormat="1" ht="19.5" customHeight="1" x14ac:dyDescent="0.2">
      <c r="A68" s="701" t="str">
        <f>Led!D64</f>
        <v/>
      </c>
      <c r="B68" s="702" t="str">
        <f>Led!E64</f>
        <v/>
      </c>
      <c r="C68" s="703" t="str">
        <f>IF(ISNUMBER(A68),Led!F64,"")</f>
        <v/>
      </c>
      <c r="D68" s="740" t="str">
        <f>Led!CS64</f>
        <v/>
      </c>
      <c r="E68" s="704"/>
      <c r="F68" s="704"/>
      <c r="G68" s="704"/>
      <c r="H68" s="704"/>
      <c r="I68" s="704"/>
      <c r="J68" s="704"/>
      <c r="K68" s="704"/>
      <c r="L68" s="723"/>
      <c r="M68" s="724"/>
      <c r="P68" s="727"/>
    </row>
    <row r="69" spans="1:16" s="707" customFormat="1" ht="19.5" customHeight="1" x14ac:dyDescent="0.2">
      <c r="A69" s="701" t="str">
        <f>Led!D65</f>
        <v/>
      </c>
      <c r="B69" s="702" t="str">
        <f>Led!E65</f>
        <v/>
      </c>
      <c r="C69" s="703" t="str">
        <f>IF(ISNUMBER(A69),Led!F65,"")</f>
        <v/>
      </c>
      <c r="D69" s="740" t="str">
        <f>Led!CS65</f>
        <v/>
      </c>
      <c r="E69" s="704"/>
      <c r="F69" s="704"/>
      <c r="G69" s="704"/>
      <c r="H69" s="704"/>
      <c r="I69" s="704"/>
      <c r="J69" s="704"/>
      <c r="K69" s="704"/>
      <c r="L69" s="723"/>
      <c r="M69" s="724"/>
      <c r="P69" s="727"/>
    </row>
    <row r="70" spans="1:16" ht="18.75" customHeight="1" x14ac:dyDescent="0.2">
      <c r="A70" s="701" t="str">
        <f>Led!D66</f>
        <v/>
      </c>
      <c r="B70" s="702" t="str">
        <f>Led!E66</f>
        <v/>
      </c>
      <c r="C70" s="703" t="str">
        <f>IF(ISNUMBER(A70),Led!F66,"")</f>
        <v/>
      </c>
      <c r="D70" s="740" t="str">
        <f>Led!CS66</f>
        <v/>
      </c>
      <c r="E70" s="704"/>
      <c r="F70" s="704"/>
      <c r="G70" s="704"/>
      <c r="H70" s="704"/>
      <c r="I70" s="704"/>
      <c r="J70" s="704"/>
      <c r="K70" s="704"/>
      <c r="L70" s="723"/>
      <c r="M70" s="724"/>
    </row>
    <row r="71" spans="1:16" ht="18.75" customHeight="1" x14ac:dyDescent="0.2">
      <c r="A71" s="701" t="str">
        <f>Led!D67</f>
        <v/>
      </c>
      <c r="B71" s="702" t="str">
        <f>Led!E67</f>
        <v/>
      </c>
      <c r="C71" s="703" t="str">
        <f>IF(ISNUMBER(A71),Led!F67,"")</f>
        <v/>
      </c>
      <c r="D71" s="740" t="str">
        <f>Led!CS67</f>
        <v/>
      </c>
      <c r="E71" s="704"/>
      <c r="F71" s="704"/>
      <c r="G71" s="704"/>
      <c r="H71" s="704"/>
      <c r="I71" s="704"/>
      <c r="J71" s="704"/>
      <c r="K71" s="704"/>
      <c r="L71" s="723"/>
      <c r="M71" s="724"/>
    </row>
    <row r="72" spans="1:16" ht="18.75" customHeight="1" x14ac:dyDescent="0.2">
      <c r="A72" s="701" t="str">
        <f>Led!D68</f>
        <v/>
      </c>
      <c r="B72" s="702" t="str">
        <f>Led!E68</f>
        <v/>
      </c>
      <c r="C72" s="703" t="str">
        <f>IF(ISNUMBER(A72),Led!F68,"")</f>
        <v/>
      </c>
      <c r="D72" s="740" t="str">
        <f>Led!CS68</f>
        <v/>
      </c>
      <c r="E72" s="704"/>
      <c r="F72" s="704"/>
      <c r="G72" s="704"/>
      <c r="H72" s="704"/>
      <c r="I72" s="704"/>
      <c r="J72" s="704"/>
      <c r="K72" s="704"/>
      <c r="L72" s="723"/>
      <c r="M72" s="724"/>
    </row>
    <row r="73" spans="1:16" ht="18.75" customHeight="1" x14ac:dyDescent="0.2">
      <c r="A73" s="701" t="str">
        <f>Led!D69</f>
        <v/>
      </c>
      <c r="B73" s="702" t="str">
        <f>Led!E69</f>
        <v/>
      </c>
      <c r="C73" s="703" t="str">
        <f>IF(ISNUMBER(A73),Led!F69,"")</f>
        <v/>
      </c>
      <c r="D73" s="740" t="str">
        <f>Led!CS69</f>
        <v/>
      </c>
      <c r="E73" s="704"/>
      <c r="F73" s="704"/>
      <c r="G73" s="704"/>
      <c r="H73" s="704"/>
      <c r="I73" s="704"/>
      <c r="J73" s="704"/>
      <c r="K73" s="704"/>
      <c r="L73" s="749"/>
      <c r="M73" s="750"/>
    </row>
    <row r="74" spans="1:16" x14ac:dyDescent="0.2">
      <c r="L74" s="727"/>
      <c r="M74" s="727"/>
    </row>
    <row r="75" spans="1:16" x14ac:dyDescent="0.2">
      <c r="L75" s="727"/>
      <c r="M75" s="727"/>
    </row>
    <row r="76" spans="1:16" x14ac:dyDescent="0.2">
      <c r="L76" s="727"/>
      <c r="M76" s="727"/>
    </row>
    <row r="77" spans="1:16" x14ac:dyDescent="0.2">
      <c r="L77" s="727"/>
      <c r="M77" s="727"/>
    </row>
    <row r="78" spans="1:16" x14ac:dyDescent="0.2">
      <c r="L78" s="727"/>
      <c r="M78" s="727"/>
    </row>
    <row r="79" spans="1:16" x14ac:dyDescent="0.2">
      <c r="L79" s="727"/>
      <c r="M79" s="727"/>
    </row>
    <row r="80" spans="1:16" x14ac:dyDescent="0.2">
      <c r="L80" s="727"/>
      <c r="M80" s="727"/>
    </row>
    <row r="81" spans="12:13" x14ac:dyDescent="0.2">
      <c r="L81" s="727"/>
      <c r="M81" s="727"/>
    </row>
    <row r="82" spans="12:13" x14ac:dyDescent="0.2">
      <c r="L82" s="727"/>
      <c r="M82" s="727"/>
    </row>
    <row r="83" spans="12:13" x14ac:dyDescent="0.2">
      <c r="L83" s="727"/>
      <c r="M83" s="727"/>
    </row>
    <row r="84" spans="12:13" x14ac:dyDescent="0.2">
      <c r="L84" s="727"/>
      <c r="M84" s="727"/>
    </row>
    <row r="85" spans="12:13" x14ac:dyDescent="0.2">
      <c r="L85" s="727"/>
      <c r="M85" s="727"/>
    </row>
    <row r="86" spans="12:13" x14ac:dyDescent="0.2">
      <c r="L86" s="727"/>
      <c r="M86" s="727"/>
    </row>
    <row r="87" spans="12:13" x14ac:dyDescent="0.2">
      <c r="L87" s="727"/>
      <c r="M87" s="727"/>
    </row>
    <row r="88" spans="12:13" x14ac:dyDescent="0.2">
      <c r="L88" s="727"/>
      <c r="M88" s="727"/>
    </row>
    <row r="89" spans="12:13" x14ac:dyDescent="0.2">
      <c r="L89" s="727"/>
      <c r="M89" s="727"/>
    </row>
    <row r="90" spans="12:13" x14ac:dyDescent="0.2">
      <c r="L90" s="727"/>
      <c r="M90" s="727"/>
    </row>
    <row r="91" spans="12:13" x14ac:dyDescent="0.2">
      <c r="L91" s="727"/>
      <c r="M91" s="727"/>
    </row>
    <row r="92" spans="12:13" x14ac:dyDescent="0.2">
      <c r="L92" s="727"/>
      <c r="M92" s="727"/>
    </row>
    <row r="93" spans="12:13" x14ac:dyDescent="0.2">
      <c r="L93" s="727"/>
      <c r="M93" s="727"/>
    </row>
    <row r="94" spans="12:13" x14ac:dyDescent="0.2">
      <c r="L94" s="727"/>
      <c r="M94" s="727"/>
    </row>
    <row r="95" spans="12:13" x14ac:dyDescent="0.2">
      <c r="L95" s="727"/>
      <c r="M95" s="727"/>
    </row>
    <row r="96" spans="12:13" x14ac:dyDescent="0.2">
      <c r="L96" s="727"/>
      <c r="M96" s="727"/>
    </row>
    <row r="97" spans="12:13" x14ac:dyDescent="0.2">
      <c r="L97" s="727"/>
      <c r="M97" s="727"/>
    </row>
    <row r="98" spans="12:13" x14ac:dyDescent="0.2">
      <c r="L98" s="727"/>
      <c r="M98" s="727"/>
    </row>
    <row r="99" spans="12:13" x14ac:dyDescent="0.2">
      <c r="L99" s="727"/>
      <c r="M99" s="727"/>
    </row>
    <row r="100" spans="12:13" x14ac:dyDescent="0.2">
      <c r="L100" s="727"/>
      <c r="M100" s="727"/>
    </row>
    <row r="101" spans="12:13" x14ac:dyDescent="0.2">
      <c r="L101" s="727"/>
      <c r="M101" s="727"/>
    </row>
    <row r="102" spans="12:13" x14ac:dyDescent="0.2">
      <c r="L102" s="727"/>
      <c r="M102" s="727"/>
    </row>
    <row r="103" spans="12:13" x14ac:dyDescent="0.2">
      <c r="L103" s="727"/>
      <c r="M103" s="727"/>
    </row>
    <row r="104" spans="12:13" x14ac:dyDescent="0.2">
      <c r="L104" s="727"/>
      <c r="M104" s="727"/>
    </row>
    <row r="105" spans="12:13" x14ac:dyDescent="0.2">
      <c r="L105" s="727"/>
      <c r="M105" s="727"/>
    </row>
    <row r="106" spans="12:13" x14ac:dyDescent="0.2">
      <c r="L106" s="727"/>
      <c r="M106" s="727"/>
    </row>
    <row r="107" spans="12:13" x14ac:dyDescent="0.2">
      <c r="L107" s="727"/>
      <c r="M107" s="727"/>
    </row>
    <row r="108" spans="12:13" x14ac:dyDescent="0.2">
      <c r="L108" s="727"/>
      <c r="M108" s="727"/>
    </row>
    <row r="109" spans="12:13" x14ac:dyDescent="0.2">
      <c r="L109" s="727"/>
      <c r="M109" s="727"/>
    </row>
    <row r="110" spans="12:13" x14ac:dyDescent="0.2">
      <c r="L110" s="727"/>
      <c r="M110" s="727"/>
    </row>
    <row r="111" spans="12:13" x14ac:dyDescent="0.2">
      <c r="L111" s="727"/>
      <c r="M111" s="727"/>
    </row>
    <row r="112" spans="12:13" x14ac:dyDescent="0.2">
      <c r="L112" s="727"/>
      <c r="M112" s="727"/>
    </row>
    <row r="113" spans="12:13" x14ac:dyDescent="0.2">
      <c r="L113" s="727"/>
      <c r="M113" s="727"/>
    </row>
    <row r="114" spans="12:13" x14ac:dyDescent="0.2">
      <c r="L114" s="727"/>
      <c r="M114" s="727"/>
    </row>
    <row r="115" spans="12:13" x14ac:dyDescent="0.2">
      <c r="L115" s="727"/>
      <c r="M115" s="727"/>
    </row>
    <row r="116" spans="12:13" x14ac:dyDescent="0.2">
      <c r="L116" s="727"/>
      <c r="M116" s="727"/>
    </row>
    <row r="117" spans="12:13" x14ac:dyDescent="0.2">
      <c r="L117" s="727"/>
      <c r="M117" s="727"/>
    </row>
    <row r="118" spans="12:13" x14ac:dyDescent="0.2">
      <c r="L118" s="727"/>
      <c r="M118" s="727"/>
    </row>
    <row r="119" spans="12:13" x14ac:dyDescent="0.2">
      <c r="L119" s="727"/>
      <c r="M119" s="727"/>
    </row>
    <row r="120" spans="12:13" x14ac:dyDescent="0.2">
      <c r="L120" s="727"/>
      <c r="M120" s="727"/>
    </row>
    <row r="121" spans="12:13" x14ac:dyDescent="0.2">
      <c r="L121" s="727"/>
      <c r="M121" s="727"/>
    </row>
    <row r="122" spans="12:13" x14ac:dyDescent="0.2">
      <c r="L122" s="727"/>
      <c r="M122" s="727"/>
    </row>
    <row r="123" spans="12:13" x14ac:dyDescent="0.2">
      <c r="L123" s="727"/>
      <c r="M123" s="727"/>
    </row>
    <row r="124" spans="12:13" x14ac:dyDescent="0.2">
      <c r="L124" s="727"/>
      <c r="M124" s="727"/>
    </row>
    <row r="125" spans="12:13" x14ac:dyDescent="0.2">
      <c r="L125" s="727"/>
      <c r="M125" s="727"/>
    </row>
    <row r="126" spans="12:13" x14ac:dyDescent="0.2">
      <c r="L126" s="727"/>
      <c r="M126" s="727"/>
    </row>
    <row r="127" spans="12:13" x14ac:dyDescent="0.2">
      <c r="L127" s="727"/>
      <c r="M127" s="727"/>
    </row>
    <row r="128" spans="12:13" x14ac:dyDescent="0.2">
      <c r="L128" s="727"/>
      <c r="M128" s="727"/>
    </row>
    <row r="129" spans="12:13" x14ac:dyDescent="0.2">
      <c r="L129" s="727"/>
      <c r="M129" s="727"/>
    </row>
    <row r="130" spans="12:13" x14ac:dyDescent="0.2">
      <c r="L130" s="727"/>
      <c r="M130" s="727"/>
    </row>
    <row r="131" spans="12:13" x14ac:dyDescent="0.2">
      <c r="L131" s="727"/>
      <c r="M131" s="727"/>
    </row>
    <row r="132" spans="12:13" x14ac:dyDescent="0.2">
      <c r="L132" s="727"/>
      <c r="M132" s="727"/>
    </row>
    <row r="133" spans="12:13" x14ac:dyDescent="0.2">
      <c r="L133" s="727"/>
      <c r="M133" s="727"/>
    </row>
    <row r="134" spans="12:13" x14ac:dyDescent="0.2">
      <c r="L134" s="727"/>
      <c r="M134" s="727"/>
    </row>
    <row r="135" spans="12:13" x14ac:dyDescent="0.2">
      <c r="L135" s="727"/>
      <c r="M135" s="727"/>
    </row>
    <row r="136" spans="12:13" x14ac:dyDescent="0.2">
      <c r="L136" s="727"/>
      <c r="M136" s="727"/>
    </row>
    <row r="137" spans="12:13" x14ac:dyDescent="0.2">
      <c r="L137" s="727"/>
      <c r="M137" s="727"/>
    </row>
    <row r="138" spans="12:13" x14ac:dyDescent="0.2">
      <c r="L138" s="727"/>
      <c r="M138" s="727"/>
    </row>
    <row r="139" spans="12:13" x14ac:dyDescent="0.2">
      <c r="L139" s="727"/>
      <c r="M139" s="727"/>
    </row>
    <row r="140" spans="12:13" x14ac:dyDescent="0.2">
      <c r="L140" s="727"/>
      <c r="M140" s="727"/>
    </row>
    <row r="141" spans="12:13" x14ac:dyDescent="0.2">
      <c r="L141" s="727"/>
      <c r="M141" s="727"/>
    </row>
    <row r="142" spans="12:13" x14ac:dyDescent="0.2">
      <c r="L142" s="727"/>
      <c r="M142" s="727"/>
    </row>
    <row r="143" spans="12:13" x14ac:dyDescent="0.2">
      <c r="L143" s="727"/>
      <c r="M143" s="727"/>
    </row>
    <row r="144" spans="12:13" x14ac:dyDescent="0.2">
      <c r="L144" s="727"/>
      <c r="M144" s="727"/>
    </row>
    <row r="145" spans="12:13" x14ac:dyDescent="0.2">
      <c r="L145" s="727"/>
      <c r="M145" s="727"/>
    </row>
    <row r="146" spans="12:13" x14ac:dyDescent="0.2">
      <c r="L146" s="727"/>
      <c r="M146" s="727"/>
    </row>
    <row r="147" spans="12:13" x14ac:dyDescent="0.2">
      <c r="L147" s="727"/>
      <c r="M147" s="727"/>
    </row>
    <row r="148" spans="12:13" x14ac:dyDescent="0.2">
      <c r="L148" s="727"/>
      <c r="M148" s="727"/>
    </row>
    <row r="149" spans="12:13" x14ac:dyDescent="0.2">
      <c r="L149" s="727"/>
      <c r="M149" s="727"/>
    </row>
    <row r="150" spans="12:13" x14ac:dyDescent="0.2">
      <c r="L150" s="727"/>
      <c r="M150" s="727"/>
    </row>
    <row r="151" spans="12:13" x14ac:dyDescent="0.2">
      <c r="L151" s="727"/>
      <c r="M151" s="727"/>
    </row>
    <row r="152" spans="12:13" x14ac:dyDescent="0.2">
      <c r="L152" s="727"/>
      <c r="M152" s="727"/>
    </row>
    <row r="153" spans="12:13" x14ac:dyDescent="0.2">
      <c r="L153" s="727"/>
      <c r="M153" s="727"/>
    </row>
    <row r="154" spans="12:13" x14ac:dyDescent="0.2">
      <c r="L154" s="727"/>
      <c r="M154" s="727"/>
    </row>
    <row r="155" spans="12:13" x14ac:dyDescent="0.2">
      <c r="L155" s="727"/>
      <c r="M155" s="727"/>
    </row>
    <row r="156" spans="12:13" x14ac:dyDescent="0.2">
      <c r="L156" s="727"/>
      <c r="M156" s="727"/>
    </row>
    <row r="157" spans="12:13" x14ac:dyDescent="0.2">
      <c r="L157" s="727"/>
      <c r="M157" s="727"/>
    </row>
    <row r="158" spans="12:13" x14ac:dyDescent="0.2">
      <c r="L158" s="727"/>
      <c r="M158" s="727"/>
    </row>
    <row r="159" spans="12:13" x14ac:dyDescent="0.2">
      <c r="L159" s="727"/>
      <c r="M159" s="727"/>
    </row>
    <row r="160" spans="12:13" x14ac:dyDescent="0.2">
      <c r="L160" s="727"/>
      <c r="M160" s="727"/>
    </row>
    <row r="161" spans="12:13" x14ac:dyDescent="0.2">
      <c r="L161" s="727"/>
      <c r="M161" s="727"/>
    </row>
    <row r="162" spans="12:13" x14ac:dyDescent="0.2">
      <c r="L162" s="727"/>
      <c r="M162" s="727"/>
    </row>
    <row r="163" spans="12:13" x14ac:dyDescent="0.2">
      <c r="L163" s="727"/>
      <c r="M163" s="727"/>
    </row>
    <row r="164" spans="12:13" x14ac:dyDescent="0.2">
      <c r="L164" s="727"/>
      <c r="M164" s="727"/>
    </row>
  </sheetData>
  <sheetProtection sheet="1" objects="1" scenarios="1"/>
  <mergeCells count="4">
    <mergeCell ref="L4:M4"/>
    <mergeCell ref="L2:M2"/>
    <mergeCell ref="I2:J2"/>
    <mergeCell ref="A2:C2"/>
  </mergeCells>
  <conditionalFormatting sqref="C6:C73">
    <cfRule type="expression" dxfId="11" priority="1">
      <formula>$C$4="X"</formula>
    </cfRule>
  </conditionalFormatting>
  <dataValidations count="2">
    <dataValidation type="list" allowBlank="1" showInputMessage="1" showErrorMessage="1" sqref="E4:K4">
      <formula1>$L$5:$L$42</formula1>
    </dataValidation>
    <dataValidation type="list" allowBlank="1" showInputMessage="1" showErrorMessage="1" sqref="WVK983039:WVQ983039 WLO983039:WLU983039 WBS983039:WBY983039 VRW983039:VSC983039 VIA983039:VIG983039 UYE983039:UYK983039 UOI983039:UOO983039 UEM983039:UES983039 TUQ983039:TUW983039 TKU983039:TLA983039 TAY983039:TBE983039 SRC983039:SRI983039 SHG983039:SHM983039 RXK983039:RXQ983039 RNO983039:RNU983039 RDS983039:RDY983039 QTW983039:QUC983039 QKA983039:QKG983039 QAE983039:QAK983039 PQI983039:PQO983039 PGM983039:PGS983039 OWQ983039:OWW983039 OMU983039:ONA983039 OCY983039:ODE983039 NTC983039:NTI983039 NJG983039:NJM983039 MZK983039:MZQ983039 MPO983039:MPU983039 MFS983039:MFY983039 LVW983039:LWC983039 LMA983039:LMG983039 LCE983039:LCK983039 KSI983039:KSO983039 KIM983039:KIS983039 JYQ983039:JYW983039 JOU983039:JPA983039 JEY983039:JFE983039 IVC983039:IVI983039 ILG983039:ILM983039 IBK983039:IBQ983039 HRO983039:HRU983039 HHS983039:HHY983039 GXW983039:GYC983039 GOA983039:GOG983039 GEE983039:GEK983039 FUI983039:FUO983039 FKM983039:FKS983039 FAQ983039:FAW983039 EQU983039:ERA983039 EGY983039:EHE983039 DXC983039:DXI983039 DNG983039:DNM983039 DDK983039:DDQ983039 CTO983039:CTU983039 CJS983039:CJY983039 BZW983039:CAC983039 BQA983039:BQG983039 BGE983039:BGK983039 AWI983039:AWO983039 AMM983039:AMS983039 ACQ983039:ACW983039 SU983039:TA983039 IY983039:JE983039 E983039:K983039 WVK917503:WVQ917503 WLO917503:WLU917503 WBS917503:WBY917503 VRW917503:VSC917503 VIA917503:VIG917503 UYE917503:UYK917503 UOI917503:UOO917503 UEM917503:UES917503 TUQ917503:TUW917503 TKU917503:TLA917503 TAY917503:TBE917503 SRC917503:SRI917503 SHG917503:SHM917503 RXK917503:RXQ917503 RNO917503:RNU917503 RDS917503:RDY917503 QTW917503:QUC917503 QKA917503:QKG917503 QAE917503:QAK917503 PQI917503:PQO917503 PGM917503:PGS917503 OWQ917503:OWW917503 OMU917503:ONA917503 OCY917503:ODE917503 NTC917503:NTI917503 NJG917503:NJM917503 MZK917503:MZQ917503 MPO917503:MPU917503 MFS917503:MFY917503 LVW917503:LWC917503 LMA917503:LMG917503 LCE917503:LCK917503 KSI917503:KSO917503 KIM917503:KIS917503 JYQ917503:JYW917503 JOU917503:JPA917503 JEY917503:JFE917503 IVC917503:IVI917503 ILG917503:ILM917503 IBK917503:IBQ917503 HRO917503:HRU917503 HHS917503:HHY917503 GXW917503:GYC917503 GOA917503:GOG917503 GEE917503:GEK917503 FUI917503:FUO917503 FKM917503:FKS917503 FAQ917503:FAW917503 EQU917503:ERA917503 EGY917503:EHE917503 DXC917503:DXI917503 DNG917503:DNM917503 DDK917503:DDQ917503 CTO917503:CTU917503 CJS917503:CJY917503 BZW917503:CAC917503 BQA917503:BQG917503 BGE917503:BGK917503 AWI917503:AWO917503 AMM917503:AMS917503 ACQ917503:ACW917503 SU917503:TA917503 IY917503:JE917503 E917503:K917503 WVK851967:WVQ851967 WLO851967:WLU851967 WBS851967:WBY851967 VRW851967:VSC851967 VIA851967:VIG851967 UYE851967:UYK851967 UOI851967:UOO851967 UEM851967:UES851967 TUQ851967:TUW851967 TKU851967:TLA851967 TAY851967:TBE851967 SRC851967:SRI851967 SHG851967:SHM851967 RXK851967:RXQ851967 RNO851967:RNU851967 RDS851967:RDY851967 QTW851967:QUC851967 QKA851967:QKG851967 QAE851967:QAK851967 PQI851967:PQO851967 PGM851967:PGS851967 OWQ851967:OWW851967 OMU851967:ONA851967 OCY851967:ODE851967 NTC851967:NTI851967 NJG851967:NJM851967 MZK851967:MZQ851967 MPO851967:MPU851967 MFS851967:MFY851967 LVW851967:LWC851967 LMA851967:LMG851967 LCE851967:LCK851967 KSI851967:KSO851967 KIM851967:KIS851967 JYQ851967:JYW851967 JOU851967:JPA851967 JEY851967:JFE851967 IVC851967:IVI851967 ILG851967:ILM851967 IBK851967:IBQ851967 HRO851967:HRU851967 HHS851967:HHY851967 GXW851967:GYC851967 GOA851967:GOG851967 GEE851967:GEK851967 FUI851967:FUO851967 FKM851967:FKS851967 FAQ851967:FAW851967 EQU851967:ERA851967 EGY851967:EHE851967 DXC851967:DXI851967 DNG851967:DNM851967 DDK851967:DDQ851967 CTO851967:CTU851967 CJS851967:CJY851967 BZW851967:CAC851967 BQA851967:BQG851967 BGE851967:BGK851967 AWI851967:AWO851967 AMM851967:AMS851967 ACQ851967:ACW851967 SU851967:TA851967 IY851967:JE851967 E851967:K851967 WVK786431:WVQ786431 WLO786431:WLU786431 WBS786431:WBY786431 VRW786431:VSC786431 VIA786431:VIG786431 UYE786431:UYK786431 UOI786431:UOO786431 UEM786431:UES786431 TUQ786431:TUW786431 TKU786431:TLA786431 TAY786431:TBE786431 SRC786431:SRI786431 SHG786431:SHM786431 RXK786431:RXQ786431 RNO786431:RNU786431 RDS786431:RDY786431 QTW786431:QUC786431 QKA786431:QKG786431 QAE786431:QAK786431 PQI786431:PQO786431 PGM786431:PGS786431 OWQ786431:OWW786431 OMU786431:ONA786431 OCY786431:ODE786431 NTC786431:NTI786431 NJG786431:NJM786431 MZK786431:MZQ786431 MPO786431:MPU786431 MFS786431:MFY786431 LVW786431:LWC786431 LMA786431:LMG786431 LCE786431:LCK786431 KSI786431:KSO786431 KIM786431:KIS786431 JYQ786431:JYW786431 JOU786431:JPA786431 JEY786431:JFE786431 IVC786431:IVI786431 ILG786431:ILM786431 IBK786431:IBQ786431 HRO786431:HRU786431 HHS786431:HHY786431 GXW786431:GYC786431 GOA786431:GOG786431 GEE786431:GEK786431 FUI786431:FUO786431 FKM786431:FKS786431 FAQ786431:FAW786431 EQU786431:ERA786431 EGY786431:EHE786431 DXC786431:DXI786431 DNG786431:DNM786431 DDK786431:DDQ786431 CTO786431:CTU786431 CJS786431:CJY786431 BZW786431:CAC786431 BQA786431:BQG786431 BGE786431:BGK786431 AWI786431:AWO786431 AMM786431:AMS786431 ACQ786431:ACW786431 SU786431:TA786431 IY786431:JE786431 E786431:K786431 WVK720895:WVQ720895 WLO720895:WLU720895 WBS720895:WBY720895 VRW720895:VSC720895 VIA720895:VIG720895 UYE720895:UYK720895 UOI720895:UOO720895 UEM720895:UES720895 TUQ720895:TUW720895 TKU720895:TLA720895 TAY720895:TBE720895 SRC720895:SRI720895 SHG720895:SHM720895 RXK720895:RXQ720895 RNO720895:RNU720895 RDS720895:RDY720895 QTW720895:QUC720895 QKA720895:QKG720895 QAE720895:QAK720895 PQI720895:PQO720895 PGM720895:PGS720895 OWQ720895:OWW720895 OMU720895:ONA720895 OCY720895:ODE720895 NTC720895:NTI720895 NJG720895:NJM720895 MZK720895:MZQ720895 MPO720895:MPU720895 MFS720895:MFY720895 LVW720895:LWC720895 LMA720895:LMG720895 LCE720895:LCK720895 KSI720895:KSO720895 KIM720895:KIS720895 JYQ720895:JYW720895 JOU720895:JPA720895 JEY720895:JFE720895 IVC720895:IVI720895 ILG720895:ILM720895 IBK720895:IBQ720895 HRO720895:HRU720895 HHS720895:HHY720895 GXW720895:GYC720895 GOA720895:GOG720895 GEE720895:GEK720895 FUI720895:FUO720895 FKM720895:FKS720895 FAQ720895:FAW720895 EQU720895:ERA720895 EGY720895:EHE720895 DXC720895:DXI720895 DNG720895:DNM720895 DDK720895:DDQ720895 CTO720895:CTU720895 CJS720895:CJY720895 BZW720895:CAC720895 BQA720895:BQG720895 BGE720895:BGK720895 AWI720895:AWO720895 AMM720895:AMS720895 ACQ720895:ACW720895 SU720895:TA720895 IY720895:JE720895 E720895:K720895 WVK655359:WVQ655359 WLO655359:WLU655359 WBS655359:WBY655359 VRW655359:VSC655359 VIA655359:VIG655359 UYE655359:UYK655359 UOI655359:UOO655359 UEM655359:UES655359 TUQ655359:TUW655359 TKU655359:TLA655359 TAY655359:TBE655359 SRC655359:SRI655359 SHG655359:SHM655359 RXK655359:RXQ655359 RNO655359:RNU655359 RDS655359:RDY655359 QTW655359:QUC655359 QKA655359:QKG655359 QAE655359:QAK655359 PQI655359:PQO655359 PGM655359:PGS655359 OWQ655359:OWW655359 OMU655359:ONA655359 OCY655359:ODE655359 NTC655359:NTI655359 NJG655359:NJM655359 MZK655359:MZQ655359 MPO655359:MPU655359 MFS655359:MFY655359 LVW655359:LWC655359 LMA655359:LMG655359 LCE655359:LCK655359 KSI655359:KSO655359 KIM655359:KIS655359 JYQ655359:JYW655359 JOU655359:JPA655359 JEY655359:JFE655359 IVC655359:IVI655359 ILG655359:ILM655359 IBK655359:IBQ655359 HRO655359:HRU655359 HHS655359:HHY655359 GXW655359:GYC655359 GOA655359:GOG655359 GEE655359:GEK655359 FUI655359:FUO655359 FKM655359:FKS655359 FAQ655359:FAW655359 EQU655359:ERA655359 EGY655359:EHE655359 DXC655359:DXI655359 DNG655359:DNM655359 DDK655359:DDQ655359 CTO655359:CTU655359 CJS655359:CJY655359 BZW655359:CAC655359 BQA655359:BQG655359 BGE655359:BGK655359 AWI655359:AWO655359 AMM655359:AMS655359 ACQ655359:ACW655359 SU655359:TA655359 IY655359:JE655359 E655359:K655359 WVK589823:WVQ589823 WLO589823:WLU589823 WBS589823:WBY589823 VRW589823:VSC589823 VIA589823:VIG589823 UYE589823:UYK589823 UOI589823:UOO589823 UEM589823:UES589823 TUQ589823:TUW589823 TKU589823:TLA589823 TAY589823:TBE589823 SRC589823:SRI589823 SHG589823:SHM589823 RXK589823:RXQ589823 RNO589823:RNU589823 RDS589823:RDY589823 QTW589823:QUC589823 QKA589823:QKG589823 QAE589823:QAK589823 PQI589823:PQO589823 PGM589823:PGS589823 OWQ589823:OWW589823 OMU589823:ONA589823 OCY589823:ODE589823 NTC589823:NTI589823 NJG589823:NJM589823 MZK589823:MZQ589823 MPO589823:MPU589823 MFS589823:MFY589823 LVW589823:LWC589823 LMA589823:LMG589823 LCE589823:LCK589823 KSI589823:KSO589823 KIM589823:KIS589823 JYQ589823:JYW589823 JOU589823:JPA589823 JEY589823:JFE589823 IVC589823:IVI589823 ILG589823:ILM589823 IBK589823:IBQ589823 HRO589823:HRU589823 HHS589823:HHY589823 GXW589823:GYC589823 GOA589823:GOG589823 GEE589823:GEK589823 FUI589823:FUO589823 FKM589823:FKS589823 FAQ589823:FAW589823 EQU589823:ERA589823 EGY589823:EHE589823 DXC589823:DXI589823 DNG589823:DNM589823 DDK589823:DDQ589823 CTO589823:CTU589823 CJS589823:CJY589823 BZW589823:CAC589823 BQA589823:BQG589823 BGE589823:BGK589823 AWI589823:AWO589823 AMM589823:AMS589823 ACQ589823:ACW589823 SU589823:TA589823 IY589823:JE589823 E589823:K589823 WVK524287:WVQ524287 WLO524287:WLU524287 WBS524287:WBY524287 VRW524287:VSC524287 VIA524287:VIG524287 UYE524287:UYK524287 UOI524287:UOO524287 UEM524287:UES524287 TUQ524287:TUW524287 TKU524287:TLA524287 TAY524287:TBE524287 SRC524287:SRI524287 SHG524287:SHM524287 RXK524287:RXQ524287 RNO524287:RNU524287 RDS524287:RDY524287 QTW524287:QUC524287 QKA524287:QKG524287 QAE524287:QAK524287 PQI524287:PQO524287 PGM524287:PGS524287 OWQ524287:OWW524287 OMU524287:ONA524287 OCY524287:ODE524287 NTC524287:NTI524287 NJG524287:NJM524287 MZK524287:MZQ524287 MPO524287:MPU524287 MFS524287:MFY524287 LVW524287:LWC524287 LMA524287:LMG524287 LCE524287:LCK524287 KSI524287:KSO524287 KIM524287:KIS524287 JYQ524287:JYW524287 JOU524287:JPA524287 JEY524287:JFE524287 IVC524287:IVI524287 ILG524287:ILM524287 IBK524287:IBQ524287 HRO524287:HRU524287 HHS524287:HHY524287 GXW524287:GYC524287 GOA524287:GOG524287 GEE524287:GEK524287 FUI524287:FUO524287 FKM524287:FKS524287 FAQ524287:FAW524287 EQU524287:ERA524287 EGY524287:EHE524287 DXC524287:DXI524287 DNG524287:DNM524287 DDK524287:DDQ524287 CTO524287:CTU524287 CJS524287:CJY524287 BZW524287:CAC524287 BQA524287:BQG524287 BGE524287:BGK524287 AWI524287:AWO524287 AMM524287:AMS524287 ACQ524287:ACW524287 SU524287:TA524287 IY524287:JE524287 E524287:K524287 WVK458751:WVQ458751 WLO458751:WLU458751 WBS458751:WBY458751 VRW458751:VSC458751 VIA458751:VIG458751 UYE458751:UYK458751 UOI458751:UOO458751 UEM458751:UES458751 TUQ458751:TUW458751 TKU458751:TLA458751 TAY458751:TBE458751 SRC458751:SRI458751 SHG458751:SHM458751 RXK458751:RXQ458751 RNO458751:RNU458751 RDS458751:RDY458751 QTW458751:QUC458751 QKA458751:QKG458751 QAE458751:QAK458751 PQI458751:PQO458751 PGM458751:PGS458751 OWQ458751:OWW458751 OMU458751:ONA458751 OCY458751:ODE458751 NTC458751:NTI458751 NJG458751:NJM458751 MZK458751:MZQ458751 MPO458751:MPU458751 MFS458751:MFY458751 LVW458751:LWC458751 LMA458751:LMG458751 LCE458751:LCK458751 KSI458751:KSO458751 KIM458751:KIS458751 JYQ458751:JYW458751 JOU458751:JPA458751 JEY458751:JFE458751 IVC458751:IVI458751 ILG458751:ILM458751 IBK458751:IBQ458751 HRO458751:HRU458751 HHS458751:HHY458751 GXW458751:GYC458751 GOA458751:GOG458751 GEE458751:GEK458751 FUI458751:FUO458751 FKM458751:FKS458751 FAQ458751:FAW458751 EQU458751:ERA458751 EGY458751:EHE458751 DXC458751:DXI458751 DNG458751:DNM458751 DDK458751:DDQ458751 CTO458751:CTU458751 CJS458751:CJY458751 BZW458751:CAC458751 BQA458751:BQG458751 BGE458751:BGK458751 AWI458751:AWO458751 AMM458751:AMS458751 ACQ458751:ACW458751 SU458751:TA458751 IY458751:JE458751 E458751:K458751 WVK393215:WVQ393215 WLO393215:WLU393215 WBS393215:WBY393215 VRW393215:VSC393215 VIA393215:VIG393215 UYE393215:UYK393215 UOI393215:UOO393215 UEM393215:UES393215 TUQ393215:TUW393215 TKU393215:TLA393215 TAY393215:TBE393215 SRC393215:SRI393215 SHG393215:SHM393215 RXK393215:RXQ393215 RNO393215:RNU393215 RDS393215:RDY393215 QTW393215:QUC393215 QKA393215:QKG393215 QAE393215:QAK393215 PQI393215:PQO393215 PGM393215:PGS393215 OWQ393215:OWW393215 OMU393215:ONA393215 OCY393215:ODE393215 NTC393215:NTI393215 NJG393215:NJM393215 MZK393215:MZQ393215 MPO393215:MPU393215 MFS393215:MFY393215 LVW393215:LWC393215 LMA393215:LMG393215 LCE393215:LCK393215 KSI393215:KSO393215 KIM393215:KIS393215 JYQ393215:JYW393215 JOU393215:JPA393215 JEY393215:JFE393215 IVC393215:IVI393215 ILG393215:ILM393215 IBK393215:IBQ393215 HRO393215:HRU393215 HHS393215:HHY393215 GXW393215:GYC393215 GOA393215:GOG393215 GEE393215:GEK393215 FUI393215:FUO393215 FKM393215:FKS393215 FAQ393215:FAW393215 EQU393215:ERA393215 EGY393215:EHE393215 DXC393215:DXI393215 DNG393215:DNM393215 DDK393215:DDQ393215 CTO393215:CTU393215 CJS393215:CJY393215 BZW393215:CAC393215 BQA393215:BQG393215 BGE393215:BGK393215 AWI393215:AWO393215 AMM393215:AMS393215 ACQ393215:ACW393215 SU393215:TA393215 IY393215:JE393215 E393215:K393215 WVK327679:WVQ327679 WLO327679:WLU327679 WBS327679:WBY327679 VRW327679:VSC327679 VIA327679:VIG327679 UYE327679:UYK327679 UOI327679:UOO327679 UEM327679:UES327679 TUQ327679:TUW327679 TKU327679:TLA327679 TAY327679:TBE327679 SRC327679:SRI327679 SHG327679:SHM327679 RXK327679:RXQ327679 RNO327679:RNU327679 RDS327679:RDY327679 QTW327679:QUC327679 QKA327679:QKG327679 QAE327679:QAK327679 PQI327679:PQO327679 PGM327679:PGS327679 OWQ327679:OWW327679 OMU327679:ONA327679 OCY327679:ODE327679 NTC327679:NTI327679 NJG327679:NJM327679 MZK327679:MZQ327679 MPO327679:MPU327679 MFS327679:MFY327679 LVW327679:LWC327679 LMA327679:LMG327679 LCE327679:LCK327679 KSI327679:KSO327679 KIM327679:KIS327679 JYQ327679:JYW327679 JOU327679:JPA327679 JEY327679:JFE327679 IVC327679:IVI327679 ILG327679:ILM327679 IBK327679:IBQ327679 HRO327679:HRU327679 HHS327679:HHY327679 GXW327679:GYC327679 GOA327679:GOG327679 GEE327679:GEK327679 FUI327679:FUO327679 FKM327679:FKS327679 FAQ327679:FAW327679 EQU327679:ERA327679 EGY327679:EHE327679 DXC327679:DXI327679 DNG327679:DNM327679 DDK327679:DDQ327679 CTO327679:CTU327679 CJS327679:CJY327679 BZW327679:CAC327679 BQA327679:BQG327679 BGE327679:BGK327679 AWI327679:AWO327679 AMM327679:AMS327679 ACQ327679:ACW327679 SU327679:TA327679 IY327679:JE327679 E327679:K327679 WVK262143:WVQ262143 WLO262143:WLU262143 WBS262143:WBY262143 VRW262143:VSC262143 VIA262143:VIG262143 UYE262143:UYK262143 UOI262143:UOO262143 UEM262143:UES262143 TUQ262143:TUW262143 TKU262143:TLA262143 TAY262143:TBE262143 SRC262143:SRI262143 SHG262143:SHM262143 RXK262143:RXQ262143 RNO262143:RNU262143 RDS262143:RDY262143 QTW262143:QUC262143 QKA262143:QKG262143 QAE262143:QAK262143 PQI262143:PQO262143 PGM262143:PGS262143 OWQ262143:OWW262143 OMU262143:ONA262143 OCY262143:ODE262143 NTC262143:NTI262143 NJG262143:NJM262143 MZK262143:MZQ262143 MPO262143:MPU262143 MFS262143:MFY262143 LVW262143:LWC262143 LMA262143:LMG262143 LCE262143:LCK262143 KSI262143:KSO262143 KIM262143:KIS262143 JYQ262143:JYW262143 JOU262143:JPA262143 JEY262143:JFE262143 IVC262143:IVI262143 ILG262143:ILM262143 IBK262143:IBQ262143 HRO262143:HRU262143 HHS262143:HHY262143 GXW262143:GYC262143 GOA262143:GOG262143 GEE262143:GEK262143 FUI262143:FUO262143 FKM262143:FKS262143 FAQ262143:FAW262143 EQU262143:ERA262143 EGY262143:EHE262143 DXC262143:DXI262143 DNG262143:DNM262143 DDK262143:DDQ262143 CTO262143:CTU262143 CJS262143:CJY262143 BZW262143:CAC262143 BQA262143:BQG262143 BGE262143:BGK262143 AWI262143:AWO262143 AMM262143:AMS262143 ACQ262143:ACW262143 SU262143:TA262143 IY262143:JE262143 E262143:K262143 WVK196607:WVQ196607 WLO196607:WLU196607 WBS196607:WBY196607 VRW196607:VSC196607 VIA196607:VIG196607 UYE196607:UYK196607 UOI196607:UOO196607 UEM196607:UES196607 TUQ196607:TUW196607 TKU196607:TLA196607 TAY196607:TBE196607 SRC196607:SRI196607 SHG196607:SHM196607 RXK196607:RXQ196607 RNO196607:RNU196607 RDS196607:RDY196607 QTW196607:QUC196607 QKA196607:QKG196607 QAE196607:QAK196607 PQI196607:PQO196607 PGM196607:PGS196607 OWQ196607:OWW196607 OMU196607:ONA196607 OCY196607:ODE196607 NTC196607:NTI196607 NJG196607:NJM196607 MZK196607:MZQ196607 MPO196607:MPU196607 MFS196607:MFY196607 LVW196607:LWC196607 LMA196607:LMG196607 LCE196607:LCK196607 KSI196607:KSO196607 KIM196607:KIS196607 JYQ196607:JYW196607 JOU196607:JPA196607 JEY196607:JFE196607 IVC196607:IVI196607 ILG196607:ILM196607 IBK196607:IBQ196607 HRO196607:HRU196607 HHS196607:HHY196607 GXW196607:GYC196607 GOA196607:GOG196607 GEE196607:GEK196607 FUI196607:FUO196607 FKM196607:FKS196607 FAQ196607:FAW196607 EQU196607:ERA196607 EGY196607:EHE196607 DXC196607:DXI196607 DNG196607:DNM196607 DDK196607:DDQ196607 CTO196607:CTU196607 CJS196607:CJY196607 BZW196607:CAC196607 BQA196607:BQG196607 BGE196607:BGK196607 AWI196607:AWO196607 AMM196607:AMS196607 ACQ196607:ACW196607 SU196607:TA196607 IY196607:JE196607 E196607:K196607 WVK131071:WVQ131071 WLO131071:WLU131071 WBS131071:WBY131071 VRW131071:VSC131071 VIA131071:VIG131071 UYE131071:UYK131071 UOI131071:UOO131071 UEM131071:UES131071 TUQ131071:TUW131071 TKU131071:TLA131071 TAY131071:TBE131071 SRC131071:SRI131071 SHG131071:SHM131071 RXK131071:RXQ131071 RNO131071:RNU131071 RDS131071:RDY131071 QTW131071:QUC131071 QKA131071:QKG131071 QAE131071:QAK131071 PQI131071:PQO131071 PGM131071:PGS131071 OWQ131071:OWW131071 OMU131071:ONA131071 OCY131071:ODE131071 NTC131071:NTI131071 NJG131071:NJM131071 MZK131071:MZQ131071 MPO131071:MPU131071 MFS131071:MFY131071 LVW131071:LWC131071 LMA131071:LMG131071 LCE131071:LCK131071 KSI131071:KSO131071 KIM131071:KIS131071 JYQ131071:JYW131071 JOU131071:JPA131071 JEY131071:JFE131071 IVC131071:IVI131071 ILG131071:ILM131071 IBK131071:IBQ131071 HRO131071:HRU131071 HHS131071:HHY131071 GXW131071:GYC131071 GOA131071:GOG131071 GEE131071:GEK131071 FUI131071:FUO131071 FKM131071:FKS131071 FAQ131071:FAW131071 EQU131071:ERA131071 EGY131071:EHE131071 DXC131071:DXI131071 DNG131071:DNM131071 DDK131071:DDQ131071 CTO131071:CTU131071 CJS131071:CJY131071 BZW131071:CAC131071 BQA131071:BQG131071 BGE131071:BGK131071 AWI131071:AWO131071 AMM131071:AMS131071 ACQ131071:ACW131071 SU131071:TA131071 IY131071:JE131071 E131071:K131071 WVK65535:WVQ65535 WLO65535:WLU65535 WBS65535:WBY65535 VRW65535:VSC65535 VIA65535:VIG65535 UYE65535:UYK65535 UOI65535:UOO65535 UEM65535:UES65535 TUQ65535:TUW65535 TKU65535:TLA65535 TAY65535:TBE65535 SRC65535:SRI65535 SHG65535:SHM65535 RXK65535:RXQ65535 RNO65535:RNU65535 RDS65535:RDY65535 QTW65535:QUC65535 QKA65535:QKG65535 QAE65535:QAK65535 PQI65535:PQO65535 PGM65535:PGS65535 OWQ65535:OWW65535 OMU65535:ONA65535 OCY65535:ODE65535 NTC65535:NTI65535 NJG65535:NJM65535 MZK65535:MZQ65535 MPO65535:MPU65535 MFS65535:MFY65535 LVW65535:LWC65535 LMA65535:LMG65535 LCE65535:LCK65535 KSI65535:KSO65535 KIM65535:KIS65535 JYQ65535:JYW65535 JOU65535:JPA65535 JEY65535:JFE65535 IVC65535:IVI65535 ILG65535:ILM65535 IBK65535:IBQ65535 HRO65535:HRU65535 HHS65535:HHY65535 GXW65535:GYC65535 GOA65535:GOG65535 GEE65535:GEK65535 FUI65535:FUO65535 FKM65535:FKS65535 FAQ65535:FAW65535 EQU65535:ERA65535 EGY65535:EHE65535 DXC65535:DXI65535 DNG65535:DNM65535 DDK65535:DDQ65535 CTO65535:CTU65535 CJS65535:CJY65535 BZW65535:CAC65535 BQA65535:BQG65535 BGE65535:BGK65535 AWI65535:AWO65535 AMM65535:AMS65535 ACQ65535:ACW65535 SU65535:TA65535 IY65535:JE65535 E65535:K65535">
      <formula1>$L$6:$L$42</formula1>
    </dataValidation>
  </dataValidations>
  <pageMargins left="0.6692913385826772" right="0.70866141732283472" top="0.98425196850393704" bottom="0.59055118110236227" header="0.51181102362204722" footer="0.35433070866141736"/>
  <pageSetup paperSize="9" orientation="portrait" r:id="rId1"/>
  <headerFooter alignWithMargins="0">
    <oddHeader>&amp;L&amp;F</oddHead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W168"/>
  <sheetViews>
    <sheetView zoomScale="125" zoomScaleNormal="125" workbookViewId="0">
      <selection activeCell="E6" sqref="E6"/>
    </sheetView>
  </sheetViews>
  <sheetFormatPr defaultRowHeight="12.75" x14ac:dyDescent="0.2"/>
  <cols>
    <col min="1" max="1" width="3.7109375" style="680" customWidth="1"/>
    <col min="2" max="2" width="2.42578125" style="680" customWidth="1"/>
    <col min="3" max="3" width="4.5703125" style="680" customWidth="1"/>
    <col min="4" max="4" width="4.5703125" style="680" hidden="1" customWidth="1"/>
    <col min="5" max="5" width="11" style="680" customWidth="1"/>
    <col min="6" max="11" width="7.7109375" style="680" customWidth="1"/>
    <col min="12" max="12" width="6.5703125" style="680" customWidth="1"/>
    <col min="13" max="13" width="10.85546875" style="680" customWidth="1"/>
    <col min="14" max="14" width="9.140625" style="680" hidden="1" customWidth="1"/>
    <col min="15" max="17" width="0" style="680" hidden="1" customWidth="1"/>
    <col min="18" max="18" width="6" style="727" hidden="1" customWidth="1"/>
    <col min="19" max="23" width="0" style="680" hidden="1" customWidth="1"/>
    <col min="24" max="257" width="9.140625" style="680"/>
    <col min="258" max="258" width="3.7109375" style="680" customWidth="1"/>
    <col min="259" max="259" width="2.42578125" style="680" customWidth="1"/>
    <col min="260" max="260" width="2.85546875" style="680" customWidth="1"/>
    <col min="261" max="269" width="7.7109375" style="680" customWidth="1"/>
    <col min="270" max="270" width="6.5703125" style="680" customWidth="1"/>
    <col min="271" max="271" width="10.85546875" style="680" customWidth="1"/>
    <col min="272" max="272" width="0" style="680" hidden="1" customWidth="1"/>
    <col min="273" max="513" width="9.140625" style="680"/>
    <col min="514" max="514" width="3.7109375" style="680" customWidth="1"/>
    <col min="515" max="515" width="2.42578125" style="680" customWidth="1"/>
    <col min="516" max="516" width="2.85546875" style="680" customWidth="1"/>
    <col min="517" max="525" width="7.7109375" style="680" customWidth="1"/>
    <col min="526" max="526" width="6.5703125" style="680" customWidth="1"/>
    <col min="527" max="527" width="10.85546875" style="680" customWidth="1"/>
    <col min="528" max="528" width="0" style="680" hidden="1" customWidth="1"/>
    <col min="529" max="769" width="9.140625" style="680"/>
    <col min="770" max="770" width="3.7109375" style="680" customWidth="1"/>
    <col min="771" max="771" width="2.42578125" style="680" customWidth="1"/>
    <col min="772" max="772" width="2.85546875" style="680" customWidth="1"/>
    <col min="773" max="781" width="7.7109375" style="680" customWidth="1"/>
    <col min="782" max="782" width="6.5703125" style="680" customWidth="1"/>
    <col min="783" max="783" width="10.85546875" style="680" customWidth="1"/>
    <col min="784" max="784" width="0" style="680" hidden="1" customWidth="1"/>
    <col min="785" max="1025" width="9.140625" style="680"/>
    <col min="1026" max="1026" width="3.7109375" style="680" customWidth="1"/>
    <col min="1027" max="1027" width="2.42578125" style="680" customWidth="1"/>
    <col min="1028" max="1028" width="2.85546875" style="680" customWidth="1"/>
    <col min="1029" max="1037" width="7.7109375" style="680" customWidth="1"/>
    <col min="1038" max="1038" width="6.5703125" style="680" customWidth="1"/>
    <col min="1039" max="1039" width="10.85546875" style="680" customWidth="1"/>
    <col min="1040" max="1040" width="0" style="680" hidden="1" customWidth="1"/>
    <col min="1041" max="1281" width="9.140625" style="680"/>
    <col min="1282" max="1282" width="3.7109375" style="680" customWidth="1"/>
    <col min="1283" max="1283" width="2.42578125" style="680" customWidth="1"/>
    <col min="1284" max="1284" width="2.85546875" style="680" customWidth="1"/>
    <col min="1285" max="1293" width="7.7109375" style="680" customWidth="1"/>
    <col min="1294" max="1294" width="6.5703125" style="680" customWidth="1"/>
    <col min="1295" max="1295" width="10.85546875" style="680" customWidth="1"/>
    <col min="1296" max="1296" width="0" style="680" hidden="1" customWidth="1"/>
    <col min="1297" max="1537" width="9.140625" style="680"/>
    <col min="1538" max="1538" width="3.7109375" style="680" customWidth="1"/>
    <col min="1539" max="1539" width="2.42578125" style="680" customWidth="1"/>
    <col min="1540" max="1540" width="2.85546875" style="680" customWidth="1"/>
    <col min="1541" max="1549" width="7.7109375" style="680" customWidth="1"/>
    <col min="1550" max="1550" width="6.5703125" style="680" customWidth="1"/>
    <col min="1551" max="1551" width="10.85546875" style="680" customWidth="1"/>
    <col min="1552" max="1552" width="0" style="680" hidden="1" customWidth="1"/>
    <col min="1553" max="1793" width="9.140625" style="680"/>
    <col min="1794" max="1794" width="3.7109375" style="680" customWidth="1"/>
    <col min="1795" max="1795" width="2.42578125" style="680" customWidth="1"/>
    <col min="1796" max="1796" width="2.85546875" style="680" customWidth="1"/>
    <col min="1797" max="1805" width="7.7109375" style="680" customWidth="1"/>
    <col min="1806" max="1806" width="6.5703125" style="680" customWidth="1"/>
    <col min="1807" max="1807" width="10.85546875" style="680" customWidth="1"/>
    <col min="1808" max="1808" width="0" style="680" hidden="1" customWidth="1"/>
    <col min="1809" max="2049" width="9.140625" style="680"/>
    <col min="2050" max="2050" width="3.7109375" style="680" customWidth="1"/>
    <col min="2051" max="2051" width="2.42578125" style="680" customWidth="1"/>
    <col min="2052" max="2052" width="2.85546875" style="680" customWidth="1"/>
    <col min="2053" max="2061" width="7.7109375" style="680" customWidth="1"/>
    <col min="2062" max="2062" width="6.5703125" style="680" customWidth="1"/>
    <col min="2063" max="2063" width="10.85546875" style="680" customWidth="1"/>
    <col min="2064" max="2064" width="0" style="680" hidden="1" customWidth="1"/>
    <col min="2065" max="2305" width="9.140625" style="680"/>
    <col min="2306" max="2306" width="3.7109375" style="680" customWidth="1"/>
    <col min="2307" max="2307" width="2.42578125" style="680" customWidth="1"/>
    <col min="2308" max="2308" width="2.85546875" style="680" customWidth="1"/>
    <col min="2309" max="2317" width="7.7109375" style="680" customWidth="1"/>
    <col min="2318" max="2318" width="6.5703125" style="680" customWidth="1"/>
    <col min="2319" max="2319" width="10.85546875" style="680" customWidth="1"/>
    <col min="2320" max="2320" width="0" style="680" hidden="1" customWidth="1"/>
    <col min="2321" max="2561" width="9.140625" style="680"/>
    <col min="2562" max="2562" width="3.7109375" style="680" customWidth="1"/>
    <col min="2563" max="2563" width="2.42578125" style="680" customWidth="1"/>
    <col min="2564" max="2564" width="2.85546875" style="680" customWidth="1"/>
    <col min="2565" max="2573" width="7.7109375" style="680" customWidth="1"/>
    <col min="2574" max="2574" width="6.5703125" style="680" customWidth="1"/>
    <col min="2575" max="2575" width="10.85546875" style="680" customWidth="1"/>
    <col min="2576" max="2576" width="0" style="680" hidden="1" customWidth="1"/>
    <col min="2577" max="2817" width="9.140625" style="680"/>
    <col min="2818" max="2818" width="3.7109375" style="680" customWidth="1"/>
    <col min="2819" max="2819" width="2.42578125" style="680" customWidth="1"/>
    <col min="2820" max="2820" width="2.85546875" style="680" customWidth="1"/>
    <col min="2821" max="2829" width="7.7109375" style="680" customWidth="1"/>
    <col min="2830" max="2830" width="6.5703125" style="680" customWidth="1"/>
    <col min="2831" max="2831" width="10.85546875" style="680" customWidth="1"/>
    <col min="2832" max="2832" width="0" style="680" hidden="1" customWidth="1"/>
    <col min="2833" max="3073" width="9.140625" style="680"/>
    <col min="3074" max="3074" width="3.7109375" style="680" customWidth="1"/>
    <col min="3075" max="3075" width="2.42578125" style="680" customWidth="1"/>
    <col min="3076" max="3076" width="2.85546875" style="680" customWidth="1"/>
    <col min="3077" max="3085" width="7.7109375" style="680" customWidth="1"/>
    <col min="3086" max="3086" width="6.5703125" style="680" customWidth="1"/>
    <col min="3087" max="3087" width="10.85546875" style="680" customWidth="1"/>
    <col min="3088" max="3088" width="0" style="680" hidden="1" customWidth="1"/>
    <col min="3089" max="3329" width="9.140625" style="680"/>
    <col min="3330" max="3330" width="3.7109375" style="680" customWidth="1"/>
    <col min="3331" max="3331" width="2.42578125" style="680" customWidth="1"/>
    <col min="3332" max="3332" width="2.85546875" style="680" customWidth="1"/>
    <col min="3333" max="3341" width="7.7109375" style="680" customWidth="1"/>
    <col min="3342" max="3342" width="6.5703125" style="680" customWidth="1"/>
    <col min="3343" max="3343" width="10.85546875" style="680" customWidth="1"/>
    <col min="3344" max="3344" width="0" style="680" hidden="1" customWidth="1"/>
    <col min="3345" max="3585" width="9.140625" style="680"/>
    <col min="3586" max="3586" width="3.7109375" style="680" customWidth="1"/>
    <col min="3587" max="3587" width="2.42578125" style="680" customWidth="1"/>
    <col min="3588" max="3588" width="2.85546875" style="680" customWidth="1"/>
    <col min="3589" max="3597" width="7.7109375" style="680" customWidth="1"/>
    <col min="3598" max="3598" width="6.5703125" style="680" customWidth="1"/>
    <col min="3599" max="3599" width="10.85546875" style="680" customWidth="1"/>
    <col min="3600" max="3600" width="0" style="680" hidden="1" customWidth="1"/>
    <col min="3601" max="3841" width="9.140625" style="680"/>
    <col min="3842" max="3842" width="3.7109375" style="680" customWidth="1"/>
    <col min="3843" max="3843" width="2.42578125" style="680" customWidth="1"/>
    <col min="3844" max="3844" width="2.85546875" style="680" customWidth="1"/>
    <col min="3845" max="3853" width="7.7109375" style="680" customWidth="1"/>
    <col min="3854" max="3854" width="6.5703125" style="680" customWidth="1"/>
    <col min="3855" max="3855" width="10.85546875" style="680" customWidth="1"/>
    <col min="3856" max="3856" width="0" style="680" hidden="1" customWidth="1"/>
    <col min="3857" max="4097" width="9.140625" style="680"/>
    <col min="4098" max="4098" width="3.7109375" style="680" customWidth="1"/>
    <col min="4099" max="4099" width="2.42578125" style="680" customWidth="1"/>
    <col min="4100" max="4100" width="2.85546875" style="680" customWidth="1"/>
    <col min="4101" max="4109" width="7.7109375" style="680" customWidth="1"/>
    <col min="4110" max="4110" width="6.5703125" style="680" customWidth="1"/>
    <col min="4111" max="4111" width="10.85546875" style="680" customWidth="1"/>
    <col min="4112" max="4112" width="0" style="680" hidden="1" customWidth="1"/>
    <col min="4113" max="4353" width="9.140625" style="680"/>
    <col min="4354" max="4354" width="3.7109375" style="680" customWidth="1"/>
    <col min="4355" max="4355" width="2.42578125" style="680" customWidth="1"/>
    <col min="4356" max="4356" width="2.85546875" style="680" customWidth="1"/>
    <col min="4357" max="4365" width="7.7109375" style="680" customWidth="1"/>
    <col min="4366" max="4366" width="6.5703125" style="680" customWidth="1"/>
    <col min="4367" max="4367" width="10.85546875" style="680" customWidth="1"/>
    <col min="4368" max="4368" width="0" style="680" hidden="1" customWidth="1"/>
    <col min="4369" max="4609" width="9.140625" style="680"/>
    <col min="4610" max="4610" width="3.7109375" style="680" customWidth="1"/>
    <col min="4611" max="4611" width="2.42578125" style="680" customWidth="1"/>
    <col min="4612" max="4612" width="2.85546875" style="680" customWidth="1"/>
    <col min="4613" max="4621" width="7.7109375" style="680" customWidth="1"/>
    <col min="4622" max="4622" width="6.5703125" style="680" customWidth="1"/>
    <col min="4623" max="4623" width="10.85546875" style="680" customWidth="1"/>
    <col min="4624" max="4624" width="0" style="680" hidden="1" customWidth="1"/>
    <col min="4625" max="4865" width="9.140625" style="680"/>
    <col min="4866" max="4866" width="3.7109375" style="680" customWidth="1"/>
    <col min="4867" max="4867" width="2.42578125" style="680" customWidth="1"/>
    <col min="4868" max="4868" width="2.85546875" style="680" customWidth="1"/>
    <col min="4869" max="4877" width="7.7109375" style="680" customWidth="1"/>
    <col min="4878" max="4878" width="6.5703125" style="680" customWidth="1"/>
    <col min="4879" max="4879" width="10.85546875" style="680" customWidth="1"/>
    <col min="4880" max="4880" width="0" style="680" hidden="1" customWidth="1"/>
    <col min="4881" max="5121" width="9.140625" style="680"/>
    <col min="5122" max="5122" width="3.7109375" style="680" customWidth="1"/>
    <col min="5123" max="5123" width="2.42578125" style="680" customWidth="1"/>
    <col min="5124" max="5124" width="2.85546875" style="680" customWidth="1"/>
    <col min="5125" max="5133" width="7.7109375" style="680" customWidth="1"/>
    <col min="5134" max="5134" width="6.5703125" style="680" customWidth="1"/>
    <col min="5135" max="5135" width="10.85546875" style="680" customWidth="1"/>
    <col min="5136" max="5136" width="0" style="680" hidden="1" customWidth="1"/>
    <col min="5137" max="5377" width="9.140625" style="680"/>
    <col min="5378" max="5378" width="3.7109375" style="680" customWidth="1"/>
    <col min="5379" max="5379" width="2.42578125" style="680" customWidth="1"/>
    <col min="5380" max="5380" width="2.85546875" style="680" customWidth="1"/>
    <col min="5381" max="5389" width="7.7109375" style="680" customWidth="1"/>
    <col min="5390" max="5390" width="6.5703125" style="680" customWidth="1"/>
    <col min="5391" max="5391" width="10.85546875" style="680" customWidth="1"/>
    <col min="5392" max="5392" width="0" style="680" hidden="1" customWidth="1"/>
    <col min="5393" max="5633" width="9.140625" style="680"/>
    <col min="5634" max="5634" width="3.7109375" style="680" customWidth="1"/>
    <col min="5635" max="5635" width="2.42578125" style="680" customWidth="1"/>
    <col min="5636" max="5636" width="2.85546875" style="680" customWidth="1"/>
    <col min="5637" max="5645" width="7.7109375" style="680" customWidth="1"/>
    <col min="5646" max="5646" width="6.5703125" style="680" customWidth="1"/>
    <col min="5647" max="5647" width="10.85546875" style="680" customWidth="1"/>
    <col min="5648" max="5648" width="0" style="680" hidden="1" customWidth="1"/>
    <col min="5649" max="5889" width="9.140625" style="680"/>
    <col min="5890" max="5890" width="3.7109375" style="680" customWidth="1"/>
    <col min="5891" max="5891" width="2.42578125" style="680" customWidth="1"/>
    <col min="5892" max="5892" width="2.85546875" style="680" customWidth="1"/>
    <col min="5893" max="5901" width="7.7109375" style="680" customWidth="1"/>
    <col min="5902" max="5902" width="6.5703125" style="680" customWidth="1"/>
    <col min="5903" max="5903" width="10.85546875" style="680" customWidth="1"/>
    <col min="5904" max="5904" width="0" style="680" hidden="1" customWidth="1"/>
    <col min="5905" max="6145" width="9.140625" style="680"/>
    <col min="6146" max="6146" width="3.7109375" style="680" customWidth="1"/>
    <col min="6147" max="6147" width="2.42578125" style="680" customWidth="1"/>
    <col min="6148" max="6148" width="2.85546875" style="680" customWidth="1"/>
    <col min="6149" max="6157" width="7.7109375" style="680" customWidth="1"/>
    <col min="6158" max="6158" width="6.5703125" style="680" customWidth="1"/>
    <col min="6159" max="6159" width="10.85546875" style="680" customWidth="1"/>
    <col min="6160" max="6160" width="0" style="680" hidden="1" customWidth="1"/>
    <col min="6161" max="6401" width="9.140625" style="680"/>
    <col min="6402" max="6402" width="3.7109375" style="680" customWidth="1"/>
    <col min="6403" max="6403" width="2.42578125" style="680" customWidth="1"/>
    <col min="6404" max="6404" width="2.85546875" style="680" customWidth="1"/>
    <col min="6405" max="6413" width="7.7109375" style="680" customWidth="1"/>
    <col min="6414" max="6414" width="6.5703125" style="680" customWidth="1"/>
    <col min="6415" max="6415" width="10.85546875" style="680" customWidth="1"/>
    <col min="6416" max="6416" width="0" style="680" hidden="1" customWidth="1"/>
    <col min="6417" max="6657" width="9.140625" style="680"/>
    <col min="6658" max="6658" width="3.7109375" style="680" customWidth="1"/>
    <col min="6659" max="6659" width="2.42578125" style="680" customWidth="1"/>
    <col min="6660" max="6660" width="2.85546875" style="680" customWidth="1"/>
    <col min="6661" max="6669" width="7.7109375" style="680" customWidth="1"/>
    <col min="6670" max="6670" width="6.5703125" style="680" customWidth="1"/>
    <col min="6671" max="6671" width="10.85546875" style="680" customWidth="1"/>
    <col min="6672" max="6672" width="0" style="680" hidden="1" customWidth="1"/>
    <col min="6673" max="6913" width="9.140625" style="680"/>
    <col min="6914" max="6914" width="3.7109375" style="680" customWidth="1"/>
    <col min="6915" max="6915" width="2.42578125" style="680" customWidth="1"/>
    <col min="6916" max="6916" width="2.85546875" style="680" customWidth="1"/>
    <col min="6917" max="6925" width="7.7109375" style="680" customWidth="1"/>
    <col min="6926" max="6926" width="6.5703125" style="680" customWidth="1"/>
    <col min="6927" max="6927" width="10.85546875" style="680" customWidth="1"/>
    <col min="6928" max="6928" width="0" style="680" hidden="1" customWidth="1"/>
    <col min="6929" max="7169" width="9.140625" style="680"/>
    <col min="7170" max="7170" width="3.7109375" style="680" customWidth="1"/>
    <col min="7171" max="7171" width="2.42578125" style="680" customWidth="1"/>
    <col min="7172" max="7172" width="2.85546875" style="680" customWidth="1"/>
    <col min="7173" max="7181" width="7.7109375" style="680" customWidth="1"/>
    <col min="7182" max="7182" width="6.5703125" style="680" customWidth="1"/>
    <col min="7183" max="7183" width="10.85546875" style="680" customWidth="1"/>
    <col min="7184" max="7184" width="0" style="680" hidden="1" customWidth="1"/>
    <col min="7185" max="7425" width="9.140625" style="680"/>
    <col min="7426" max="7426" width="3.7109375" style="680" customWidth="1"/>
    <col min="7427" max="7427" width="2.42578125" style="680" customWidth="1"/>
    <col min="7428" max="7428" width="2.85546875" style="680" customWidth="1"/>
    <col min="7429" max="7437" width="7.7109375" style="680" customWidth="1"/>
    <col min="7438" max="7438" width="6.5703125" style="680" customWidth="1"/>
    <col min="7439" max="7439" width="10.85546875" style="680" customWidth="1"/>
    <col min="7440" max="7440" width="0" style="680" hidden="1" customWidth="1"/>
    <col min="7441" max="7681" width="9.140625" style="680"/>
    <col min="7682" max="7682" width="3.7109375" style="680" customWidth="1"/>
    <col min="7683" max="7683" width="2.42578125" style="680" customWidth="1"/>
    <col min="7684" max="7684" width="2.85546875" style="680" customWidth="1"/>
    <col min="7685" max="7693" width="7.7109375" style="680" customWidth="1"/>
    <col min="7694" max="7694" width="6.5703125" style="680" customWidth="1"/>
    <col min="7695" max="7695" width="10.85546875" style="680" customWidth="1"/>
    <col min="7696" max="7696" width="0" style="680" hidden="1" customWidth="1"/>
    <col min="7697" max="7937" width="9.140625" style="680"/>
    <col min="7938" max="7938" width="3.7109375" style="680" customWidth="1"/>
    <col min="7939" max="7939" width="2.42578125" style="680" customWidth="1"/>
    <col min="7940" max="7940" width="2.85546875" style="680" customWidth="1"/>
    <col min="7941" max="7949" width="7.7109375" style="680" customWidth="1"/>
    <col min="7950" max="7950" width="6.5703125" style="680" customWidth="1"/>
    <col min="7951" max="7951" width="10.85546875" style="680" customWidth="1"/>
    <col min="7952" max="7952" width="0" style="680" hidden="1" customWidth="1"/>
    <col min="7953" max="8193" width="9.140625" style="680"/>
    <col min="8194" max="8194" width="3.7109375" style="680" customWidth="1"/>
    <col min="8195" max="8195" width="2.42578125" style="680" customWidth="1"/>
    <col min="8196" max="8196" width="2.85546875" style="680" customWidth="1"/>
    <col min="8197" max="8205" width="7.7109375" style="680" customWidth="1"/>
    <col min="8206" max="8206" width="6.5703125" style="680" customWidth="1"/>
    <col min="8207" max="8207" width="10.85546875" style="680" customWidth="1"/>
    <col min="8208" max="8208" width="0" style="680" hidden="1" customWidth="1"/>
    <col min="8209" max="8449" width="9.140625" style="680"/>
    <col min="8450" max="8450" width="3.7109375" style="680" customWidth="1"/>
    <col min="8451" max="8451" width="2.42578125" style="680" customWidth="1"/>
    <col min="8452" max="8452" width="2.85546875" style="680" customWidth="1"/>
    <col min="8453" max="8461" width="7.7109375" style="680" customWidth="1"/>
    <col min="8462" max="8462" width="6.5703125" style="680" customWidth="1"/>
    <col min="8463" max="8463" width="10.85546875" style="680" customWidth="1"/>
    <col min="8464" max="8464" width="0" style="680" hidden="1" customWidth="1"/>
    <col min="8465" max="8705" width="9.140625" style="680"/>
    <col min="8706" max="8706" width="3.7109375" style="680" customWidth="1"/>
    <col min="8707" max="8707" width="2.42578125" style="680" customWidth="1"/>
    <col min="8708" max="8708" width="2.85546875" style="680" customWidth="1"/>
    <col min="8709" max="8717" width="7.7109375" style="680" customWidth="1"/>
    <col min="8718" max="8718" width="6.5703125" style="680" customWidth="1"/>
    <col min="8719" max="8719" width="10.85546875" style="680" customWidth="1"/>
    <col min="8720" max="8720" width="0" style="680" hidden="1" customWidth="1"/>
    <col min="8721" max="8961" width="9.140625" style="680"/>
    <col min="8962" max="8962" width="3.7109375" style="680" customWidth="1"/>
    <col min="8963" max="8963" width="2.42578125" style="680" customWidth="1"/>
    <col min="8964" max="8964" width="2.85546875" style="680" customWidth="1"/>
    <col min="8965" max="8973" width="7.7109375" style="680" customWidth="1"/>
    <col min="8974" max="8974" width="6.5703125" style="680" customWidth="1"/>
    <col min="8975" max="8975" width="10.85546875" style="680" customWidth="1"/>
    <col min="8976" max="8976" width="0" style="680" hidden="1" customWidth="1"/>
    <col min="8977" max="9217" width="9.140625" style="680"/>
    <col min="9218" max="9218" width="3.7109375" style="680" customWidth="1"/>
    <col min="9219" max="9219" width="2.42578125" style="680" customWidth="1"/>
    <col min="9220" max="9220" width="2.85546875" style="680" customWidth="1"/>
    <col min="9221" max="9229" width="7.7109375" style="680" customWidth="1"/>
    <col min="9230" max="9230" width="6.5703125" style="680" customWidth="1"/>
    <col min="9231" max="9231" width="10.85546875" style="680" customWidth="1"/>
    <col min="9232" max="9232" width="0" style="680" hidden="1" customWidth="1"/>
    <col min="9233" max="9473" width="9.140625" style="680"/>
    <col min="9474" max="9474" width="3.7109375" style="680" customWidth="1"/>
    <col min="9475" max="9475" width="2.42578125" style="680" customWidth="1"/>
    <col min="9476" max="9476" width="2.85546875" style="680" customWidth="1"/>
    <col min="9477" max="9485" width="7.7109375" style="680" customWidth="1"/>
    <col min="9486" max="9486" width="6.5703125" style="680" customWidth="1"/>
    <col min="9487" max="9487" width="10.85546875" style="680" customWidth="1"/>
    <col min="9488" max="9488" width="0" style="680" hidden="1" customWidth="1"/>
    <col min="9489" max="9729" width="9.140625" style="680"/>
    <col min="9730" max="9730" width="3.7109375" style="680" customWidth="1"/>
    <col min="9731" max="9731" width="2.42578125" style="680" customWidth="1"/>
    <col min="9732" max="9732" width="2.85546875" style="680" customWidth="1"/>
    <col min="9733" max="9741" width="7.7109375" style="680" customWidth="1"/>
    <col min="9742" max="9742" width="6.5703125" style="680" customWidth="1"/>
    <col min="9743" max="9743" width="10.85546875" style="680" customWidth="1"/>
    <col min="9744" max="9744" width="0" style="680" hidden="1" customWidth="1"/>
    <col min="9745" max="9985" width="9.140625" style="680"/>
    <col min="9986" max="9986" width="3.7109375" style="680" customWidth="1"/>
    <col min="9987" max="9987" width="2.42578125" style="680" customWidth="1"/>
    <col min="9988" max="9988" width="2.85546875" style="680" customWidth="1"/>
    <col min="9989" max="9997" width="7.7109375" style="680" customWidth="1"/>
    <col min="9998" max="9998" width="6.5703125" style="680" customWidth="1"/>
    <col min="9999" max="9999" width="10.85546875" style="680" customWidth="1"/>
    <col min="10000" max="10000" width="0" style="680" hidden="1" customWidth="1"/>
    <col min="10001" max="10241" width="9.140625" style="680"/>
    <col min="10242" max="10242" width="3.7109375" style="680" customWidth="1"/>
    <col min="10243" max="10243" width="2.42578125" style="680" customWidth="1"/>
    <col min="10244" max="10244" width="2.85546875" style="680" customWidth="1"/>
    <col min="10245" max="10253" width="7.7109375" style="680" customWidth="1"/>
    <col min="10254" max="10254" width="6.5703125" style="680" customWidth="1"/>
    <col min="10255" max="10255" width="10.85546875" style="680" customWidth="1"/>
    <col min="10256" max="10256" width="0" style="680" hidden="1" customWidth="1"/>
    <col min="10257" max="10497" width="9.140625" style="680"/>
    <col min="10498" max="10498" width="3.7109375" style="680" customWidth="1"/>
    <col min="10499" max="10499" width="2.42578125" style="680" customWidth="1"/>
    <col min="10500" max="10500" width="2.85546875" style="680" customWidth="1"/>
    <col min="10501" max="10509" width="7.7109375" style="680" customWidth="1"/>
    <col min="10510" max="10510" width="6.5703125" style="680" customWidth="1"/>
    <col min="10511" max="10511" width="10.85546875" style="680" customWidth="1"/>
    <col min="10512" max="10512" width="0" style="680" hidden="1" customWidth="1"/>
    <col min="10513" max="10753" width="9.140625" style="680"/>
    <col min="10754" max="10754" width="3.7109375" style="680" customWidth="1"/>
    <col min="10755" max="10755" width="2.42578125" style="680" customWidth="1"/>
    <col min="10756" max="10756" width="2.85546875" style="680" customWidth="1"/>
    <col min="10757" max="10765" width="7.7109375" style="680" customWidth="1"/>
    <col min="10766" max="10766" width="6.5703125" style="680" customWidth="1"/>
    <col min="10767" max="10767" width="10.85546875" style="680" customWidth="1"/>
    <col min="10768" max="10768" width="0" style="680" hidden="1" customWidth="1"/>
    <col min="10769" max="11009" width="9.140625" style="680"/>
    <col min="11010" max="11010" width="3.7109375" style="680" customWidth="1"/>
    <col min="11011" max="11011" width="2.42578125" style="680" customWidth="1"/>
    <col min="11012" max="11012" width="2.85546875" style="680" customWidth="1"/>
    <col min="11013" max="11021" width="7.7109375" style="680" customWidth="1"/>
    <col min="11022" max="11022" width="6.5703125" style="680" customWidth="1"/>
    <col min="11023" max="11023" width="10.85546875" style="680" customWidth="1"/>
    <col min="11024" max="11024" width="0" style="680" hidden="1" customWidth="1"/>
    <col min="11025" max="11265" width="9.140625" style="680"/>
    <col min="11266" max="11266" width="3.7109375" style="680" customWidth="1"/>
    <col min="11267" max="11267" width="2.42578125" style="680" customWidth="1"/>
    <col min="11268" max="11268" width="2.85546875" style="680" customWidth="1"/>
    <col min="11269" max="11277" width="7.7109375" style="680" customWidth="1"/>
    <col min="11278" max="11278" width="6.5703125" style="680" customWidth="1"/>
    <col min="11279" max="11279" width="10.85546875" style="680" customWidth="1"/>
    <col min="11280" max="11280" width="0" style="680" hidden="1" customWidth="1"/>
    <col min="11281" max="11521" width="9.140625" style="680"/>
    <col min="11522" max="11522" width="3.7109375" style="680" customWidth="1"/>
    <col min="11523" max="11523" width="2.42578125" style="680" customWidth="1"/>
    <col min="11524" max="11524" width="2.85546875" style="680" customWidth="1"/>
    <col min="11525" max="11533" width="7.7109375" style="680" customWidth="1"/>
    <col min="11534" max="11534" width="6.5703125" style="680" customWidth="1"/>
    <col min="11535" max="11535" width="10.85546875" style="680" customWidth="1"/>
    <col min="11536" max="11536" width="0" style="680" hidden="1" customWidth="1"/>
    <col min="11537" max="11777" width="9.140625" style="680"/>
    <col min="11778" max="11778" width="3.7109375" style="680" customWidth="1"/>
    <col min="11779" max="11779" width="2.42578125" style="680" customWidth="1"/>
    <col min="11780" max="11780" width="2.85546875" style="680" customWidth="1"/>
    <col min="11781" max="11789" width="7.7109375" style="680" customWidth="1"/>
    <col min="11790" max="11790" width="6.5703125" style="680" customWidth="1"/>
    <col min="11791" max="11791" width="10.85546875" style="680" customWidth="1"/>
    <col min="11792" max="11792" width="0" style="680" hidden="1" customWidth="1"/>
    <col min="11793" max="12033" width="9.140625" style="680"/>
    <col min="12034" max="12034" width="3.7109375" style="680" customWidth="1"/>
    <col min="12035" max="12035" width="2.42578125" style="680" customWidth="1"/>
    <col min="12036" max="12036" width="2.85546875" style="680" customWidth="1"/>
    <col min="12037" max="12045" width="7.7109375" style="680" customWidth="1"/>
    <col min="12046" max="12046" width="6.5703125" style="680" customWidth="1"/>
    <col min="12047" max="12047" width="10.85546875" style="680" customWidth="1"/>
    <col min="12048" max="12048" width="0" style="680" hidden="1" customWidth="1"/>
    <col min="12049" max="12289" width="9.140625" style="680"/>
    <col min="12290" max="12290" width="3.7109375" style="680" customWidth="1"/>
    <col min="12291" max="12291" width="2.42578125" style="680" customWidth="1"/>
    <col min="12292" max="12292" width="2.85546875" style="680" customWidth="1"/>
    <col min="12293" max="12301" width="7.7109375" style="680" customWidth="1"/>
    <col min="12302" max="12302" width="6.5703125" style="680" customWidth="1"/>
    <col min="12303" max="12303" width="10.85546875" style="680" customWidth="1"/>
    <col min="12304" max="12304" width="0" style="680" hidden="1" customWidth="1"/>
    <col min="12305" max="12545" width="9.140625" style="680"/>
    <col min="12546" max="12546" width="3.7109375" style="680" customWidth="1"/>
    <col min="12547" max="12547" width="2.42578125" style="680" customWidth="1"/>
    <col min="12548" max="12548" width="2.85546875" style="680" customWidth="1"/>
    <col min="12549" max="12557" width="7.7109375" style="680" customWidth="1"/>
    <col min="12558" max="12558" width="6.5703125" style="680" customWidth="1"/>
    <col min="12559" max="12559" width="10.85546875" style="680" customWidth="1"/>
    <col min="12560" max="12560" width="0" style="680" hidden="1" customWidth="1"/>
    <col min="12561" max="12801" width="9.140625" style="680"/>
    <col min="12802" max="12802" width="3.7109375" style="680" customWidth="1"/>
    <col min="12803" max="12803" width="2.42578125" style="680" customWidth="1"/>
    <col min="12804" max="12804" width="2.85546875" style="680" customWidth="1"/>
    <col min="12805" max="12813" width="7.7109375" style="680" customWidth="1"/>
    <col min="12814" max="12814" width="6.5703125" style="680" customWidth="1"/>
    <col min="12815" max="12815" width="10.85546875" style="680" customWidth="1"/>
    <col min="12816" max="12816" width="0" style="680" hidden="1" customWidth="1"/>
    <col min="12817" max="13057" width="9.140625" style="680"/>
    <col min="13058" max="13058" width="3.7109375" style="680" customWidth="1"/>
    <col min="13059" max="13059" width="2.42578125" style="680" customWidth="1"/>
    <col min="13060" max="13060" width="2.85546875" style="680" customWidth="1"/>
    <col min="13061" max="13069" width="7.7109375" style="680" customWidth="1"/>
    <col min="13070" max="13070" width="6.5703125" style="680" customWidth="1"/>
    <col min="13071" max="13071" width="10.85546875" style="680" customWidth="1"/>
    <col min="13072" max="13072" width="0" style="680" hidden="1" customWidth="1"/>
    <col min="13073" max="13313" width="9.140625" style="680"/>
    <col min="13314" max="13314" width="3.7109375" style="680" customWidth="1"/>
    <col min="13315" max="13315" width="2.42578125" style="680" customWidth="1"/>
    <col min="13316" max="13316" width="2.85546875" style="680" customWidth="1"/>
    <col min="13317" max="13325" width="7.7109375" style="680" customWidth="1"/>
    <col min="13326" max="13326" width="6.5703125" style="680" customWidth="1"/>
    <col min="13327" max="13327" width="10.85546875" style="680" customWidth="1"/>
    <col min="13328" max="13328" width="0" style="680" hidden="1" customWidth="1"/>
    <col min="13329" max="13569" width="9.140625" style="680"/>
    <col min="13570" max="13570" width="3.7109375" style="680" customWidth="1"/>
    <col min="13571" max="13571" width="2.42578125" style="680" customWidth="1"/>
    <col min="13572" max="13572" width="2.85546875" style="680" customWidth="1"/>
    <col min="13573" max="13581" width="7.7109375" style="680" customWidth="1"/>
    <col min="13582" max="13582" width="6.5703125" style="680" customWidth="1"/>
    <col min="13583" max="13583" width="10.85546875" style="680" customWidth="1"/>
    <col min="13584" max="13584" width="0" style="680" hidden="1" customWidth="1"/>
    <col min="13585" max="13825" width="9.140625" style="680"/>
    <col min="13826" max="13826" width="3.7109375" style="680" customWidth="1"/>
    <col min="13827" max="13827" width="2.42578125" style="680" customWidth="1"/>
    <col min="13828" max="13828" width="2.85546875" style="680" customWidth="1"/>
    <col min="13829" max="13837" width="7.7109375" style="680" customWidth="1"/>
    <col min="13838" max="13838" width="6.5703125" style="680" customWidth="1"/>
    <col min="13839" max="13839" width="10.85546875" style="680" customWidth="1"/>
    <col min="13840" max="13840" width="0" style="680" hidden="1" customWidth="1"/>
    <col min="13841" max="14081" width="9.140625" style="680"/>
    <col min="14082" max="14082" width="3.7109375" style="680" customWidth="1"/>
    <col min="14083" max="14083" width="2.42578125" style="680" customWidth="1"/>
    <col min="14084" max="14084" width="2.85546875" style="680" customWidth="1"/>
    <col min="14085" max="14093" width="7.7109375" style="680" customWidth="1"/>
    <col min="14094" max="14094" width="6.5703125" style="680" customWidth="1"/>
    <col min="14095" max="14095" width="10.85546875" style="680" customWidth="1"/>
    <col min="14096" max="14096" width="0" style="680" hidden="1" customWidth="1"/>
    <col min="14097" max="14337" width="9.140625" style="680"/>
    <col min="14338" max="14338" width="3.7109375" style="680" customWidth="1"/>
    <col min="14339" max="14339" width="2.42578125" style="680" customWidth="1"/>
    <col min="14340" max="14340" width="2.85546875" style="680" customWidth="1"/>
    <col min="14341" max="14349" width="7.7109375" style="680" customWidth="1"/>
    <col min="14350" max="14350" width="6.5703125" style="680" customWidth="1"/>
    <col min="14351" max="14351" width="10.85546875" style="680" customWidth="1"/>
    <col min="14352" max="14352" width="0" style="680" hidden="1" customWidth="1"/>
    <col min="14353" max="14593" width="9.140625" style="680"/>
    <col min="14594" max="14594" width="3.7109375" style="680" customWidth="1"/>
    <col min="14595" max="14595" width="2.42578125" style="680" customWidth="1"/>
    <col min="14596" max="14596" width="2.85546875" style="680" customWidth="1"/>
    <col min="14597" max="14605" width="7.7109375" style="680" customWidth="1"/>
    <col min="14606" max="14606" width="6.5703125" style="680" customWidth="1"/>
    <col min="14607" max="14607" width="10.85546875" style="680" customWidth="1"/>
    <col min="14608" max="14608" width="0" style="680" hidden="1" customWidth="1"/>
    <col min="14609" max="14849" width="9.140625" style="680"/>
    <col min="14850" max="14850" width="3.7109375" style="680" customWidth="1"/>
    <col min="14851" max="14851" width="2.42578125" style="680" customWidth="1"/>
    <col min="14852" max="14852" width="2.85546875" style="680" customWidth="1"/>
    <col min="14853" max="14861" width="7.7109375" style="680" customWidth="1"/>
    <col min="14862" max="14862" width="6.5703125" style="680" customWidth="1"/>
    <col min="14863" max="14863" width="10.85546875" style="680" customWidth="1"/>
    <col min="14864" max="14864" width="0" style="680" hidden="1" customWidth="1"/>
    <col min="14865" max="15105" width="9.140625" style="680"/>
    <col min="15106" max="15106" width="3.7109375" style="680" customWidth="1"/>
    <col min="15107" max="15107" width="2.42578125" style="680" customWidth="1"/>
    <col min="15108" max="15108" width="2.85546875" style="680" customWidth="1"/>
    <col min="15109" max="15117" width="7.7109375" style="680" customWidth="1"/>
    <col min="15118" max="15118" width="6.5703125" style="680" customWidth="1"/>
    <col min="15119" max="15119" width="10.85546875" style="680" customWidth="1"/>
    <col min="15120" max="15120" width="0" style="680" hidden="1" customWidth="1"/>
    <col min="15121" max="15361" width="9.140625" style="680"/>
    <col min="15362" max="15362" width="3.7109375" style="680" customWidth="1"/>
    <col min="15363" max="15363" width="2.42578125" style="680" customWidth="1"/>
    <col min="15364" max="15364" width="2.85546875" style="680" customWidth="1"/>
    <col min="15365" max="15373" width="7.7109375" style="680" customWidth="1"/>
    <col min="15374" max="15374" width="6.5703125" style="680" customWidth="1"/>
    <col min="15375" max="15375" width="10.85546875" style="680" customWidth="1"/>
    <col min="15376" max="15376" width="0" style="680" hidden="1" customWidth="1"/>
    <col min="15377" max="15617" width="9.140625" style="680"/>
    <col min="15618" max="15618" width="3.7109375" style="680" customWidth="1"/>
    <col min="15619" max="15619" width="2.42578125" style="680" customWidth="1"/>
    <col min="15620" max="15620" width="2.85546875" style="680" customWidth="1"/>
    <col min="15621" max="15629" width="7.7109375" style="680" customWidth="1"/>
    <col min="15630" max="15630" width="6.5703125" style="680" customWidth="1"/>
    <col min="15631" max="15631" width="10.85546875" style="680" customWidth="1"/>
    <col min="15632" max="15632" width="0" style="680" hidden="1" customWidth="1"/>
    <col min="15633" max="15873" width="9.140625" style="680"/>
    <col min="15874" max="15874" width="3.7109375" style="680" customWidth="1"/>
    <col min="15875" max="15875" width="2.42578125" style="680" customWidth="1"/>
    <col min="15876" max="15876" width="2.85546875" style="680" customWidth="1"/>
    <col min="15877" max="15885" width="7.7109375" style="680" customWidth="1"/>
    <col min="15886" max="15886" width="6.5703125" style="680" customWidth="1"/>
    <col min="15887" max="15887" width="10.85546875" style="680" customWidth="1"/>
    <col min="15888" max="15888" width="0" style="680" hidden="1" customWidth="1"/>
    <col min="15889" max="16129" width="9.140625" style="680"/>
    <col min="16130" max="16130" width="3.7109375" style="680" customWidth="1"/>
    <col min="16131" max="16131" width="2.42578125" style="680" customWidth="1"/>
    <col min="16132" max="16132" width="2.85546875" style="680" customWidth="1"/>
    <col min="16133" max="16141" width="7.7109375" style="680" customWidth="1"/>
    <col min="16142" max="16142" width="6.5703125" style="680" customWidth="1"/>
    <col min="16143" max="16143" width="10.85546875" style="680" customWidth="1"/>
    <col min="16144" max="16144" width="0" style="680" hidden="1" customWidth="1"/>
    <col min="16145" max="16384" width="9.140625" style="680"/>
  </cols>
  <sheetData>
    <row r="1" spans="1:23" ht="9.75" customHeight="1" x14ac:dyDescent="0.25">
      <c r="A1" s="673" t="s">
        <v>152</v>
      </c>
      <c r="B1" s="729"/>
      <c r="C1" s="729"/>
      <c r="D1" s="729"/>
      <c r="E1" s="673" t="s">
        <v>154</v>
      </c>
      <c r="F1" s="673" t="s">
        <v>155</v>
      </c>
      <c r="G1" s="674"/>
      <c r="H1" s="675" t="s">
        <v>153</v>
      </c>
      <c r="I1" s="676" t="s">
        <v>46</v>
      </c>
      <c r="J1" s="677"/>
      <c r="K1" s="678" t="s">
        <v>169</v>
      </c>
      <c r="L1" s="678" t="s">
        <v>156</v>
      </c>
      <c r="M1" s="677"/>
      <c r="N1" s="685" t="str">
        <f>IF(ISBLANK(I2),"",I2)</f>
        <v/>
      </c>
      <c r="O1" s="679" t="str">
        <f>IF(ISBLANK(K2),"",K2)</f>
        <v/>
      </c>
      <c r="P1" s="679" t="str">
        <f>IF(ISBLANK(L2),"",L2)</f>
        <v/>
      </c>
    </row>
    <row r="2" spans="1:23" s="685" customFormat="1" ht="21" customHeight="1" x14ac:dyDescent="0.25">
      <c r="A2" s="1039" t="str">
        <f>Fältkort!H91</f>
        <v>HUG066</v>
      </c>
      <c r="B2" s="1040"/>
      <c r="C2" s="1040"/>
      <c r="D2" s="730"/>
      <c r="E2" s="681" t="str">
        <f>Fältkort!H86</f>
        <v>HU-1433</v>
      </c>
      <c r="F2" s="681" t="str">
        <f>Fältkort!H94</f>
        <v>M-658-2014</v>
      </c>
      <c r="G2" s="682"/>
      <c r="H2" s="683">
        <f>PM!AF6</f>
        <v>2014</v>
      </c>
      <c r="I2" s="1037"/>
      <c r="J2" s="1038"/>
      <c r="K2" s="684"/>
      <c r="L2" s="1035"/>
      <c r="M2" s="1036"/>
      <c r="R2" s="727"/>
    </row>
    <row r="3" spans="1:23" ht="12.75" customHeight="1" x14ac:dyDescent="0.2">
      <c r="A3" s="731"/>
      <c r="B3" s="732"/>
      <c r="C3" s="733"/>
      <c r="D3" s="732"/>
      <c r="E3" s="687" t="s">
        <v>809</v>
      </c>
      <c r="F3" s="687"/>
      <c r="G3" s="687"/>
      <c r="H3" s="687"/>
      <c r="I3" s="687"/>
      <c r="J3" s="687"/>
      <c r="K3" s="687"/>
      <c r="L3" s="688"/>
      <c r="M3" s="689"/>
      <c r="P3" s="680" t="s">
        <v>692</v>
      </c>
      <c r="R3" s="727">
        <f>$K2</f>
        <v>0</v>
      </c>
      <c r="S3" s="727">
        <f t="shared" ref="S3:W3" si="0">$K2</f>
        <v>0</v>
      </c>
      <c r="T3" s="727">
        <f t="shared" si="0"/>
        <v>0</v>
      </c>
      <c r="U3" s="727">
        <f t="shared" si="0"/>
        <v>0</v>
      </c>
      <c r="V3" s="727">
        <f t="shared" si="0"/>
        <v>0</v>
      </c>
      <c r="W3" s="727">
        <f t="shared" si="0"/>
        <v>0</v>
      </c>
    </row>
    <row r="4" spans="1:23" ht="19.5" customHeight="1" x14ac:dyDescent="0.2">
      <c r="A4" s="692" t="s">
        <v>810</v>
      </c>
      <c r="B4" s="693"/>
      <c r="C4" s="694"/>
      <c r="D4" s="734"/>
      <c r="E4" s="735"/>
      <c r="F4" s="735"/>
      <c r="G4" s="735"/>
      <c r="H4" s="735"/>
      <c r="I4" s="735"/>
      <c r="J4" s="735"/>
      <c r="K4" s="735"/>
      <c r="L4" s="1033" t="str">
        <f>PM!H71</f>
        <v/>
      </c>
      <c r="M4" s="1034"/>
      <c r="P4" s="680" t="s">
        <v>693</v>
      </c>
      <c r="R4" s="727">
        <f>E4</f>
        <v>0</v>
      </c>
      <c r="S4" s="727">
        <f t="shared" ref="S4:W4" si="1">F4</f>
        <v>0</v>
      </c>
      <c r="T4" s="727">
        <f t="shared" si="1"/>
        <v>0</v>
      </c>
      <c r="U4" s="727">
        <f t="shared" si="1"/>
        <v>0</v>
      </c>
      <c r="V4" s="727">
        <f t="shared" si="1"/>
        <v>0</v>
      </c>
      <c r="W4" s="727">
        <f t="shared" si="1"/>
        <v>0</v>
      </c>
    </row>
    <row r="5" spans="1:23" ht="24" x14ac:dyDescent="0.2">
      <c r="A5" s="696" t="s">
        <v>149</v>
      </c>
      <c r="B5" s="696" t="s">
        <v>158</v>
      </c>
      <c r="C5" s="697" t="s">
        <v>157</v>
      </c>
      <c r="D5" s="697"/>
      <c r="E5" s="736"/>
      <c r="F5" s="737"/>
      <c r="G5" s="698"/>
      <c r="H5" s="698"/>
      <c r="I5" s="737"/>
      <c r="J5" s="737"/>
      <c r="K5" s="698"/>
      <c r="L5" s="738" t="str">
        <f>IF(ISBLANK(PM!J71),"",PM!J71)</f>
        <v>T2</v>
      </c>
      <c r="M5" s="739" t="str">
        <f>IF(ISBLANK(PM!K71),"",PM!K71)</f>
        <v>+10 dagar</v>
      </c>
      <c r="R5" s="727" t="s">
        <v>242</v>
      </c>
      <c r="S5" s="727" t="s">
        <v>242</v>
      </c>
      <c r="T5" s="727" t="s">
        <v>242</v>
      </c>
      <c r="U5" s="727" t="s">
        <v>242</v>
      </c>
      <c r="V5" s="727" t="s">
        <v>242</v>
      </c>
      <c r="W5" s="727" t="s">
        <v>242</v>
      </c>
    </row>
    <row r="6" spans="1:23" ht="20.25" customHeight="1" x14ac:dyDescent="0.2">
      <c r="A6" s="701">
        <f>Led!D2</f>
        <v>1</v>
      </c>
      <c r="B6" s="702">
        <f>Led!E2</f>
        <v>1</v>
      </c>
      <c r="C6" s="703" t="str">
        <f>IF(ISNUMBER(A6),(IF(Led!F2=Led!$Q$94,Led!F2,IF(ISBLANK($C$4),"",Led!F2))),"")</f>
        <v/>
      </c>
      <c r="D6" s="740" t="str">
        <f>Led!CS2</f>
        <v>1-07</v>
      </c>
      <c r="E6" s="704"/>
      <c r="F6" s="704"/>
      <c r="G6" s="704"/>
      <c r="H6" s="704"/>
      <c r="I6" s="704"/>
      <c r="J6" s="704"/>
      <c r="K6" s="704"/>
      <c r="L6" s="741" t="s">
        <v>456</v>
      </c>
      <c r="M6" s="742" t="s">
        <v>159</v>
      </c>
      <c r="N6" s="707"/>
      <c r="O6" s="707"/>
      <c r="R6" s="727">
        <f>$M2</f>
        <v>0</v>
      </c>
      <c r="S6" s="727">
        <f t="shared" ref="S6:W6" si="2">$M2</f>
        <v>0</v>
      </c>
      <c r="T6" s="727">
        <f t="shared" si="2"/>
        <v>0</v>
      </c>
      <c r="U6" s="727">
        <f t="shared" si="2"/>
        <v>0</v>
      </c>
      <c r="V6" s="727">
        <f t="shared" si="2"/>
        <v>0</v>
      </c>
      <c r="W6" s="727">
        <f t="shared" si="2"/>
        <v>0</v>
      </c>
    </row>
    <row r="7" spans="1:23" s="707" customFormat="1" ht="19.5" customHeight="1" x14ac:dyDescent="0.2">
      <c r="A7" s="701">
        <f>Led!D3</f>
        <v>2</v>
      </c>
      <c r="B7" s="702">
        <f>Led!E3</f>
        <v>1</v>
      </c>
      <c r="C7" s="703" t="str">
        <f>IF(ISNUMBER(A7),(IF(Led!F3=Led!$Q$94,Led!F3,IF(ISBLANK($C$4),"",Led!F3))),"")</f>
        <v/>
      </c>
      <c r="D7" s="740" t="str">
        <f>Led!CS3</f>
        <v>1-04</v>
      </c>
      <c r="E7" s="704"/>
      <c r="F7" s="704"/>
      <c r="G7" s="704"/>
      <c r="H7" s="704"/>
      <c r="I7" s="704"/>
      <c r="J7" s="704"/>
      <c r="K7" s="704"/>
      <c r="L7" s="743" t="s">
        <v>457</v>
      </c>
      <c r="M7" s="744" t="s">
        <v>160</v>
      </c>
      <c r="R7" s="727"/>
      <c r="T7" s="680"/>
      <c r="U7" s="680"/>
    </row>
    <row r="8" spans="1:23" s="707" customFormat="1" ht="19.5" customHeight="1" x14ac:dyDescent="0.2">
      <c r="A8" s="701">
        <f>Led!D4</f>
        <v>3</v>
      </c>
      <c r="B8" s="702">
        <f>Led!E4</f>
        <v>1</v>
      </c>
      <c r="C8" s="703" t="str">
        <f>IF(ISNUMBER(A8),(IF(Led!F4=Led!$Q$94,Led!F4,IF(ISBLANK($C$4),"",Led!F4))),"")</f>
        <v/>
      </c>
      <c r="D8" s="740" t="str">
        <f>Led!CS4</f>
        <v>1-03</v>
      </c>
      <c r="E8" s="704"/>
      <c r="F8" s="704"/>
      <c r="G8" s="704"/>
      <c r="H8" s="708"/>
      <c r="I8" s="704"/>
      <c r="J8" s="704"/>
      <c r="K8" s="704"/>
      <c r="L8" s="743" t="s">
        <v>458</v>
      </c>
      <c r="M8" s="744" t="s">
        <v>161</v>
      </c>
      <c r="R8" s="727"/>
      <c r="T8" s="680"/>
      <c r="U8" s="680"/>
    </row>
    <row r="9" spans="1:23" s="707" customFormat="1" ht="19.5" customHeight="1" x14ac:dyDescent="0.2">
      <c r="A9" s="701">
        <f>Led!D5</f>
        <v>4</v>
      </c>
      <c r="B9" s="702">
        <f>Led!E5</f>
        <v>1</v>
      </c>
      <c r="C9" s="703">
        <f>IF(ISNUMBER(A9),(IF(Led!F5=Led!$Q$94,Led!F5,IF(ISBLANK($C$4),"",Led!F5))),"")</f>
        <v>1</v>
      </c>
      <c r="D9" s="740" t="str">
        <f>Led!CS5</f>
        <v>1-01</v>
      </c>
      <c r="E9" s="704"/>
      <c r="F9" s="704"/>
      <c r="G9" s="704"/>
      <c r="H9" s="704"/>
      <c r="I9" s="704"/>
      <c r="J9" s="704"/>
      <c r="K9" s="704"/>
      <c r="L9" s="743" t="s">
        <v>459</v>
      </c>
      <c r="M9" s="744" t="s">
        <v>162</v>
      </c>
      <c r="R9" s="727"/>
      <c r="T9" s="680"/>
      <c r="U9" s="680"/>
    </row>
    <row r="10" spans="1:23" s="707" customFormat="1" ht="19.5" customHeight="1" x14ac:dyDescent="0.2">
      <c r="A10" s="701">
        <f>Led!D6</f>
        <v>5</v>
      </c>
      <c r="B10" s="702">
        <f>Led!E6</f>
        <v>1</v>
      </c>
      <c r="C10" s="703" t="str">
        <f>IF(ISNUMBER(A10),(IF(Led!F6=Led!$Q$94,Led!F6,IF(ISBLANK($C$4),"",Led!F6))),"")</f>
        <v/>
      </c>
      <c r="D10" s="740" t="str">
        <f>Led!CS6</f>
        <v>1-03</v>
      </c>
      <c r="E10" s="704"/>
      <c r="F10" s="704"/>
      <c r="G10" s="704"/>
      <c r="H10" s="704"/>
      <c r="I10" s="704"/>
      <c r="J10" s="704"/>
      <c r="K10" s="704"/>
      <c r="L10" s="743" t="s">
        <v>460</v>
      </c>
      <c r="M10" s="744" t="s">
        <v>163</v>
      </c>
      <c r="R10" s="727"/>
      <c r="T10" s="680"/>
      <c r="U10" s="680"/>
    </row>
    <row r="11" spans="1:23" s="707" customFormat="1" ht="19.5" customHeight="1" x14ac:dyDescent="0.2">
      <c r="A11" s="701">
        <f>Led!D7</f>
        <v>6</v>
      </c>
      <c r="B11" s="702">
        <f>Led!E7</f>
        <v>1</v>
      </c>
      <c r="C11" s="703" t="str">
        <f>IF(ISNUMBER(A11),(IF(Led!F7=Led!$Q$94,Led!F7,IF(ISBLANK($C$4),"",Led!F7))),"")</f>
        <v/>
      </c>
      <c r="D11" s="740" t="str">
        <f>Led!CS7</f>
        <v>1-05</v>
      </c>
      <c r="E11" s="704"/>
      <c r="F11" s="704"/>
      <c r="G11" s="704"/>
      <c r="H11" s="704"/>
      <c r="I11" s="704"/>
      <c r="J11" s="704"/>
      <c r="K11" s="704"/>
      <c r="L11" s="745" t="s">
        <v>461</v>
      </c>
      <c r="M11" s="746" t="s">
        <v>168</v>
      </c>
      <c r="R11" s="727"/>
      <c r="T11" s="680"/>
      <c r="U11" s="680"/>
    </row>
    <row r="12" spans="1:23" s="707" customFormat="1" ht="19.5" customHeight="1" x14ac:dyDescent="0.2">
      <c r="A12" s="701">
        <f>Led!D8</f>
        <v>7</v>
      </c>
      <c r="B12" s="702">
        <f>Led!E8</f>
        <v>1</v>
      </c>
      <c r="C12" s="703" t="str">
        <f>IF(ISNUMBER(A12),(IF(Led!F8=Led!$Q$94,Led!F8,IF(ISBLANK($C$4),"",Led!F8))),"")</f>
        <v/>
      </c>
      <c r="D12" s="740" t="str">
        <f>Led!CS8</f>
        <v>1-02</v>
      </c>
      <c r="E12" s="704"/>
      <c r="F12" s="704"/>
      <c r="G12" s="704"/>
      <c r="H12" s="704"/>
      <c r="I12" s="704"/>
      <c r="J12" s="704"/>
      <c r="K12" s="704"/>
      <c r="L12" s="745" t="s">
        <v>462</v>
      </c>
      <c r="M12" s="746" t="s">
        <v>463</v>
      </c>
      <c r="R12" s="727"/>
      <c r="T12" s="680"/>
      <c r="U12" s="680"/>
    </row>
    <row r="13" spans="1:23" s="707" customFormat="1" ht="19.5" customHeight="1" x14ac:dyDescent="0.2">
      <c r="A13" s="701">
        <f>Led!D9</f>
        <v>8</v>
      </c>
      <c r="B13" s="702">
        <f>Led!E9</f>
        <v>2</v>
      </c>
      <c r="C13" s="703" t="str">
        <f>IF(ISNUMBER(A13),(IF(Led!F9=Led!$Q$94,Led!F9,IF(ISBLANK($C$4),"",Led!F9))),"")</f>
        <v/>
      </c>
      <c r="D13" s="740" t="str">
        <f>Led!CS9</f>
        <v>2-03</v>
      </c>
      <c r="E13" s="704"/>
      <c r="F13" s="704"/>
      <c r="G13" s="704"/>
      <c r="H13" s="704"/>
      <c r="I13" s="704"/>
      <c r="J13" s="704"/>
      <c r="K13" s="704"/>
      <c r="L13" s="745" t="s">
        <v>464</v>
      </c>
      <c r="M13" s="746" t="s">
        <v>465</v>
      </c>
      <c r="T13" s="680"/>
      <c r="U13" s="680"/>
    </row>
    <row r="14" spans="1:23" s="707" customFormat="1" ht="19.5" customHeight="1" x14ac:dyDescent="0.2">
      <c r="A14" s="701">
        <f>Led!D10</f>
        <v>9</v>
      </c>
      <c r="B14" s="702">
        <f>Led!E10</f>
        <v>2</v>
      </c>
      <c r="C14" s="703" t="str">
        <f>IF(ISNUMBER(A14),(IF(Led!F10=Led!$Q$94,Led!F10,IF(ISBLANK($C$4),"",Led!F10))),"")</f>
        <v/>
      </c>
      <c r="D14" s="740" t="str">
        <f>Led!CS10</f>
        <v>2-06</v>
      </c>
      <c r="E14" s="704"/>
      <c r="F14" s="704"/>
      <c r="G14" s="704"/>
      <c r="H14" s="704"/>
      <c r="I14" s="704"/>
      <c r="J14" s="704"/>
      <c r="K14" s="704"/>
      <c r="L14" s="747" t="s">
        <v>466</v>
      </c>
      <c r="M14" s="748" t="s">
        <v>408</v>
      </c>
      <c r="T14" s="680"/>
      <c r="U14" s="680"/>
    </row>
    <row r="15" spans="1:23" s="707" customFormat="1" ht="19.5" customHeight="1" x14ac:dyDescent="0.2">
      <c r="A15" s="701">
        <f>Led!D11</f>
        <v>10</v>
      </c>
      <c r="B15" s="702">
        <f>Led!E11</f>
        <v>2</v>
      </c>
      <c r="C15" s="703" t="str">
        <f>IF(ISNUMBER(A15),(IF(Led!F11=Led!$Q$94,Led!F11,IF(ISBLANK($C$4),"",Led!F11))),"")</f>
        <v/>
      </c>
      <c r="D15" s="740" t="str">
        <f>Led!CS11</f>
        <v>2-02</v>
      </c>
      <c r="E15" s="704"/>
      <c r="F15" s="704"/>
      <c r="G15" s="704"/>
      <c r="H15" s="704"/>
      <c r="I15" s="704"/>
      <c r="J15" s="704"/>
      <c r="K15" s="704"/>
      <c r="L15" s="716" t="s">
        <v>482</v>
      </c>
      <c r="M15" s="717" t="s">
        <v>811</v>
      </c>
      <c r="T15" s="680"/>
      <c r="U15" s="680"/>
    </row>
    <row r="16" spans="1:23" s="707" customFormat="1" ht="19.5" customHeight="1" x14ac:dyDescent="0.2">
      <c r="A16" s="701">
        <f>Led!D12</f>
        <v>11</v>
      </c>
      <c r="B16" s="702">
        <f>Led!E12</f>
        <v>2</v>
      </c>
      <c r="C16" s="703" t="str">
        <f>IF(ISNUMBER(A16),(IF(Led!F12=Led!$Q$94,Led!F12,IF(ISBLANK($C$4),"",Led!F12))),"")</f>
        <v/>
      </c>
      <c r="D16" s="740" t="str">
        <f>Led!CS12</f>
        <v>2-07</v>
      </c>
      <c r="E16" s="704"/>
      <c r="F16" s="704"/>
      <c r="G16" s="704"/>
      <c r="H16" s="704"/>
      <c r="I16" s="704"/>
      <c r="J16" s="704"/>
      <c r="K16" s="704"/>
      <c r="L16" s="718">
        <v>10</v>
      </c>
      <c r="M16" s="719" t="s">
        <v>812</v>
      </c>
      <c r="T16" s="680"/>
      <c r="U16" s="680"/>
    </row>
    <row r="17" spans="1:21" s="707" customFormat="1" ht="19.5" customHeight="1" x14ac:dyDescent="0.2">
      <c r="A17" s="701">
        <f>Led!D13</f>
        <v>12</v>
      </c>
      <c r="B17" s="702">
        <f>Led!E13</f>
        <v>2</v>
      </c>
      <c r="C17" s="703" t="str">
        <f>IF(ISNUMBER(A17),(IF(Led!F13=Led!$Q$94,Led!F13,IF(ISBLANK($C$4),"",Led!F13))),"")</f>
        <v/>
      </c>
      <c r="D17" s="740" t="str">
        <f>Led!CS13</f>
        <v>2-04</v>
      </c>
      <c r="E17" s="704"/>
      <c r="F17" s="704"/>
      <c r="G17" s="704"/>
      <c r="H17" s="704"/>
      <c r="I17" s="704"/>
      <c r="J17" s="704"/>
      <c r="K17" s="704"/>
      <c r="L17" s="718" t="s">
        <v>813</v>
      </c>
      <c r="M17" s="719" t="s">
        <v>814</v>
      </c>
      <c r="R17" s="727"/>
      <c r="T17" s="680"/>
      <c r="U17" s="680"/>
    </row>
    <row r="18" spans="1:21" s="707" customFormat="1" ht="19.5" customHeight="1" x14ac:dyDescent="0.2">
      <c r="A18" s="701">
        <f>Led!D14</f>
        <v>13</v>
      </c>
      <c r="B18" s="702">
        <f>Led!E14</f>
        <v>2</v>
      </c>
      <c r="C18" s="703">
        <f>IF(ISNUMBER(A18),(IF(Led!F14=Led!$Q$94,Led!F14,IF(ISBLANK($C$4),"",Led!F14))),"")</f>
        <v>1</v>
      </c>
      <c r="D18" s="740" t="str">
        <f>Led!CS14</f>
        <v>2-01</v>
      </c>
      <c r="E18" s="704"/>
      <c r="F18" s="704"/>
      <c r="G18" s="704"/>
      <c r="H18" s="704"/>
      <c r="I18" s="704"/>
      <c r="J18" s="704"/>
      <c r="K18" s="704"/>
      <c r="L18" s="718" t="s">
        <v>815</v>
      </c>
      <c r="M18" s="719" t="s">
        <v>816</v>
      </c>
      <c r="R18" s="727"/>
      <c r="T18" s="680"/>
      <c r="U18" s="680"/>
    </row>
    <row r="19" spans="1:21" s="707" customFormat="1" ht="19.5" customHeight="1" x14ac:dyDescent="0.2">
      <c r="A19" s="701">
        <f>Led!D15</f>
        <v>14</v>
      </c>
      <c r="B19" s="702">
        <f>Led!E15</f>
        <v>2</v>
      </c>
      <c r="C19" s="703" t="str">
        <f>IF(ISNUMBER(A19),(IF(Led!F15=Led!$Q$94,Led!F15,IF(ISBLANK($C$4),"",Led!F15))),"")</f>
        <v/>
      </c>
      <c r="D19" s="740" t="str">
        <f>Led!CS15</f>
        <v>2-05</v>
      </c>
      <c r="E19" s="704"/>
      <c r="F19" s="704"/>
      <c r="G19" s="704"/>
      <c r="H19" s="704"/>
      <c r="I19" s="704"/>
      <c r="J19" s="704"/>
      <c r="K19" s="704"/>
      <c r="L19" s="718">
        <v>30</v>
      </c>
      <c r="M19" s="719" t="s">
        <v>817</v>
      </c>
      <c r="R19" s="727"/>
      <c r="T19" s="680"/>
      <c r="U19" s="680"/>
    </row>
    <row r="20" spans="1:21" s="707" customFormat="1" ht="19.5" customHeight="1" x14ac:dyDescent="0.2">
      <c r="A20" s="701">
        <f>Led!D16</f>
        <v>15</v>
      </c>
      <c r="B20" s="702">
        <f>Led!E16</f>
        <v>3</v>
      </c>
      <c r="C20" s="703">
        <f>IF(ISNUMBER(A20),(IF(Led!F16=Led!$Q$94,Led!F16,IF(ISBLANK($C$4),"",Led!F16))),"")</f>
        <v>1</v>
      </c>
      <c r="D20" s="740" t="str">
        <f>Led!CS16</f>
        <v>3-01</v>
      </c>
      <c r="E20" s="704"/>
      <c r="F20" s="704"/>
      <c r="G20" s="704"/>
      <c r="H20" s="704"/>
      <c r="I20" s="704"/>
      <c r="J20" s="704"/>
      <c r="K20" s="704"/>
      <c r="L20" s="718" t="s">
        <v>818</v>
      </c>
      <c r="M20" s="719" t="s">
        <v>819</v>
      </c>
      <c r="R20" s="727"/>
      <c r="T20" s="680"/>
      <c r="U20" s="680"/>
    </row>
    <row r="21" spans="1:21" s="707" customFormat="1" ht="19.5" customHeight="1" x14ac:dyDescent="0.2">
      <c r="A21" s="701">
        <f>Led!D17</f>
        <v>16</v>
      </c>
      <c r="B21" s="702">
        <f>Led!E17</f>
        <v>3</v>
      </c>
      <c r="C21" s="703" t="str">
        <f>IF(ISNUMBER(A21),(IF(Led!F17=Led!$Q$94,Led!F17,IF(ISBLANK($C$4),"",Led!F17))),"")</f>
        <v/>
      </c>
      <c r="D21" s="740" t="str">
        <f>Led!CS17</f>
        <v>3-02</v>
      </c>
      <c r="E21" s="704"/>
      <c r="F21" s="704"/>
      <c r="G21" s="704"/>
      <c r="H21" s="704"/>
      <c r="I21" s="704"/>
      <c r="J21" s="704"/>
      <c r="K21" s="704"/>
      <c r="L21" s="718" t="s">
        <v>820</v>
      </c>
      <c r="M21" s="719" t="s">
        <v>832</v>
      </c>
      <c r="R21" s="727"/>
      <c r="T21" s="680"/>
      <c r="U21" s="680"/>
    </row>
    <row r="22" spans="1:21" s="707" customFormat="1" ht="19.5" customHeight="1" x14ac:dyDescent="0.2">
      <c r="A22" s="701">
        <f>Led!D18</f>
        <v>17</v>
      </c>
      <c r="B22" s="702">
        <f>Led!E18</f>
        <v>3</v>
      </c>
      <c r="C22" s="703" t="str">
        <f>IF(ISNUMBER(A22),(IF(Led!F18=Led!$Q$94,Led!F18,IF(ISBLANK($C$4),"",Led!F18))),"")</f>
        <v/>
      </c>
      <c r="D22" s="740" t="str">
        <f>Led!CS18</f>
        <v>3-06</v>
      </c>
      <c r="E22" s="704"/>
      <c r="F22" s="704"/>
      <c r="G22" s="704"/>
      <c r="H22" s="704"/>
      <c r="I22" s="704"/>
      <c r="J22" s="704"/>
      <c r="K22" s="704"/>
      <c r="L22" s="718" t="s">
        <v>821</v>
      </c>
      <c r="M22" s="719" t="s">
        <v>822</v>
      </c>
      <c r="R22" s="727"/>
      <c r="T22" s="680"/>
      <c r="U22" s="680"/>
    </row>
    <row r="23" spans="1:21" s="707" customFormat="1" ht="19.5" customHeight="1" x14ac:dyDescent="0.2">
      <c r="A23" s="701">
        <f>Led!D19</f>
        <v>18</v>
      </c>
      <c r="B23" s="702">
        <f>Led!E19</f>
        <v>3</v>
      </c>
      <c r="C23" s="703" t="str">
        <f>IF(ISNUMBER(A23),(IF(Led!F19=Led!$Q$94,Led!F19,IF(ISBLANK($C$4),"",Led!F19))),"")</f>
        <v/>
      </c>
      <c r="D23" s="740" t="str">
        <f>Led!CS19</f>
        <v>3-05</v>
      </c>
      <c r="E23" s="704"/>
      <c r="F23" s="704"/>
      <c r="G23" s="704"/>
      <c r="H23" s="704"/>
      <c r="I23" s="704"/>
      <c r="J23" s="704"/>
      <c r="K23" s="704"/>
      <c r="L23" s="718" t="s">
        <v>823</v>
      </c>
      <c r="M23" s="720" t="s">
        <v>824</v>
      </c>
      <c r="R23" s="727"/>
      <c r="T23" s="680"/>
      <c r="U23" s="680"/>
    </row>
    <row r="24" spans="1:21" s="707" customFormat="1" ht="19.5" customHeight="1" x14ac:dyDescent="0.2">
      <c r="A24" s="701">
        <f>Led!D20</f>
        <v>19</v>
      </c>
      <c r="B24" s="702">
        <f>Led!E20</f>
        <v>3</v>
      </c>
      <c r="C24" s="703" t="str">
        <f>IF(ISNUMBER(A24),(IF(Led!F20=Led!$Q$94,Led!F20,IF(ISBLANK($C$4),"",Led!F20))),"")</f>
        <v/>
      </c>
      <c r="D24" s="740" t="str">
        <f>Led!CS20</f>
        <v>3-06</v>
      </c>
      <c r="E24" s="704"/>
      <c r="F24" s="704"/>
      <c r="G24" s="704"/>
      <c r="H24" s="704"/>
      <c r="I24" s="704"/>
      <c r="J24" s="704"/>
      <c r="K24" s="704"/>
      <c r="L24" s="718" t="s">
        <v>825</v>
      </c>
      <c r="M24" s="719" t="s">
        <v>826</v>
      </c>
      <c r="R24" s="727"/>
      <c r="T24" s="680"/>
      <c r="U24" s="680"/>
    </row>
    <row r="25" spans="1:21" s="707" customFormat="1" ht="19.5" customHeight="1" x14ac:dyDescent="0.2">
      <c r="A25" s="701">
        <f>Led!D21</f>
        <v>20</v>
      </c>
      <c r="B25" s="702">
        <f>Led!E21</f>
        <v>3</v>
      </c>
      <c r="C25" s="703" t="str">
        <f>IF(ISNUMBER(A25),(IF(Led!F21=Led!$Q$94,Led!F21,IF(ISBLANK($C$4),"",Led!F21))),"")</f>
        <v/>
      </c>
      <c r="D25" s="740" t="str">
        <f>Led!CS21</f>
        <v>3-07</v>
      </c>
      <c r="E25" s="704"/>
      <c r="F25" s="704"/>
      <c r="G25" s="704"/>
      <c r="H25" s="704"/>
      <c r="I25" s="704"/>
      <c r="J25" s="704"/>
      <c r="K25" s="704"/>
      <c r="L25" s="718" t="s">
        <v>827</v>
      </c>
      <c r="M25" s="719" t="s">
        <v>828</v>
      </c>
      <c r="R25" s="727"/>
      <c r="T25" s="680"/>
      <c r="U25" s="680"/>
    </row>
    <row r="26" spans="1:21" s="707" customFormat="1" ht="19.5" customHeight="1" x14ac:dyDescent="0.2">
      <c r="A26" s="701">
        <f>Led!D22</f>
        <v>21</v>
      </c>
      <c r="B26" s="702">
        <f>Led!E22</f>
        <v>3</v>
      </c>
      <c r="C26" s="703" t="str">
        <f>IF(ISNUMBER(A26),(IF(Led!F22=Led!$Q$94,Led!F22,IF(ISBLANK($C$4),"",Led!F22))),"")</f>
        <v/>
      </c>
      <c r="D26" s="740" t="str">
        <f>Led!CS22</f>
        <v>3-04</v>
      </c>
      <c r="E26" s="704"/>
      <c r="F26" s="704"/>
      <c r="G26" s="704"/>
      <c r="H26" s="704"/>
      <c r="I26" s="704"/>
      <c r="J26" s="704"/>
      <c r="K26" s="704"/>
      <c r="L26" s="718" t="s">
        <v>829</v>
      </c>
      <c r="M26" s="719" t="s">
        <v>830</v>
      </c>
      <c r="R26" s="727"/>
      <c r="T26" s="680"/>
      <c r="U26" s="680"/>
    </row>
    <row r="27" spans="1:21" s="707" customFormat="1" ht="19.5" customHeight="1" x14ac:dyDescent="0.2">
      <c r="A27" s="701">
        <f>Led!D23</f>
        <v>22</v>
      </c>
      <c r="B27" s="702">
        <f>Led!E23</f>
        <v>4</v>
      </c>
      <c r="C27" s="703" t="str">
        <f>IF(ISNUMBER(A27),(IF(Led!F23=Led!$Q$94,Led!F23,IF(ISBLANK($C$4),"",Led!F23))),"")</f>
        <v/>
      </c>
      <c r="D27" s="740" t="str">
        <f>Led!CS23</f>
        <v>4-05</v>
      </c>
      <c r="E27" s="704"/>
      <c r="F27" s="704"/>
      <c r="G27" s="704"/>
      <c r="H27" s="704"/>
      <c r="I27" s="704"/>
      <c r="J27" s="704"/>
      <c r="K27" s="704"/>
      <c r="L27" s="721" t="s">
        <v>831</v>
      </c>
      <c r="M27" s="722" t="s">
        <v>502</v>
      </c>
      <c r="R27" s="727"/>
      <c r="T27" s="680"/>
      <c r="U27" s="680"/>
    </row>
    <row r="28" spans="1:21" s="707" customFormat="1" ht="19.5" customHeight="1" x14ac:dyDescent="0.2">
      <c r="A28" s="701">
        <f>Led!D24</f>
        <v>23</v>
      </c>
      <c r="B28" s="702">
        <f>Led!E24</f>
        <v>4</v>
      </c>
      <c r="C28" s="703" t="str">
        <f>IF(ISNUMBER(A28),(IF(Led!F24=Led!$Q$94,Led!F24,IF(ISBLANK($C$4),"",Led!F24))),"")</f>
        <v/>
      </c>
      <c r="D28" s="740" t="str">
        <f>Led!CS24</f>
        <v>4-07</v>
      </c>
      <c r="E28" s="704"/>
      <c r="F28" s="704"/>
      <c r="G28" s="704"/>
      <c r="H28" s="704"/>
      <c r="I28" s="704"/>
      <c r="J28" s="704"/>
      <c r="K28" s="704"/>
      <c r="L28" s="705"/>
      <c r="M28" s="706"/>
      <c r="R28" s="727"/>
      <c r="T28" s="680"/>
      <c r="U28" s="680"/>
    </row>
    <row r="29" spans="1:21" s="707" customFormat="1" ht="19.5" customHeight="1" x14ac:dyDescent="0.2">
      <c r="A29" s="701">
        <f>Led!D25</f>
        <v>24</v>
      </c>
      <c r="B29" s="702">
        <f>Led!E25</f>
        <v>4</v>
      </c>
      <c r="C29" s="703">
        <f>IF(ISNUMBER(A29),(IF(Led!F25=Led!$Q$94,Led!F25,IF(ISBLANK($C$4),"",Led!F25))),"")</f>
        <v>1</v>
      </c>
      <c r="D29" s="740" t="str">
        <f>Led!CS25</f>
        <v>4-01</v>
      </c>
      <c r="E29" s="704"/>
      <c r="F29" s="704"/>
      <c r="G29" s="704"/>
      <c r="H29" s="704"/>
      <c r="I29" s="704"/>
      <c r="J29" s="704"/>
      <c r="K29" s="704"/>
      <c r="L29" s="723"/>
      <c r="M29" s="724"/>
      <c r="R29" s="727"/>
      <c r="T29" s="680"/>
      <c r="U29" s="680"/>
    </row>
    <row r="30" spans="1:21" s="707" customFormat="1" ht="19.5" customHeight="1" x14ac:dyDescent="0.2">
      <c r="A30" s="701">
        <f>Led!D26</f>
        <v>25</v>
      </c>
      <c r="B30" s="702">
        <f>Led!E26</f>
        <v>4</v>
      </c>
      <c r="C30" s="703" t="str">
        <f>IF(ISNUMBER(A30),(IF(Led!F26=Led!$Q$94,Led!F26,IF(ISBLANK($C$4),"",Led!F26))),"")</f>
        <v/>
      </c>
      <c r="D30" s="740" t="str">
        <f>Led!CS26</f>
        <v>4-04</v>
      </c>
      <c r="E30" s="704"/>
      <c r="F30" s="704"/>
      <c r="G30" s="704"/>
      <c r="H30" s="704"/>
      <c r="I30" s="704"/>
      <c r="J30" s="704"/>
      <c r="K30" s="704"/>
      <c r="L30" s="723"/>
      <c r="M30" s="724"/>
      <c r="R30" s="727"/>
      <c r="T30" s="680"/>
      <c r="U30" s="680"/>
    </row>
    <row r="31" spans="1:21" s="707" customFormat="1" ht="19.5" customHeight="1" x14ac:dyDescent="0.2">
      <c r="A31" s="701">
        <f>Led!D27</f>
        <v>26</v>
      </c>
      <c r="B31" s="702">
        <f>Led!E27</f>
        <v>4</v>
      </c>
      <c r="C31" s="703" t="str">
        <f>IF(ISNUMBER(A31),(IF(Led!F27=Led!$Q$94,Led!F27,IF(ISBLANK($C$4),"",Led!F27))),"")</f>
        <v/>
      </c>
      <c r="D31" s="740" t="str">
        <f>Led!CS27</f>
        <v>4-02</v>
      </c>
      <c r="E31" s="704"/>
      <c r="F31" s="704"/>
      <c r="G31" s="704"/>
      <c r="H31" s="704"/>
      <c r="I31" s="704"/>
      <c r="J31" s="704"/>
      <c r="K31" s="704"/>
      <c r="L31" s="723"/>
      <c r="M31" s="724"/>
      <c r="R31" s="727"/>
      <c r="T31" s="680"/>
      <c r="U31" s="680"/>
    </row>
    <row r="32" spans="1:21" s="707" customFormat="1" ht="19.5" customHeight="1" x14ac:dyDescent="0.2">
      <c r="A32" s="701">
        <f>Led!D28</f>
        <v>27</v>
      </c>
      <c r="B32" s="702">
        <f>Led!E28</f>
        <v>4</v>
      </c>
      <c r="C32" s="703" t="str">
        <f>IF(ISNUMBER(A32),(IF(Led!F28=Led!$Q$94,Led!F28,IF(ISBLANK($C$4),"",Led!F28))),"")</f>
        <v/>
      </c>
      <c r="D32" s="740" t="str">
        <f>Led!CS28</f>
        <v>4-06</v>
      </c>
      <c r="E32" s="704"/>
      <c r="F32" s="704"/>
      <c r="G32" s="704"/>
      <c r="H32" s="704"/>
      <c r="I32" s="704"/>
      <c r="J32" s="704"/>
      <c r="K32" s="704"/>
      <c r="L32" s="723"/>
      <c r="M32" s="724"/>
      <c r="R32" s="727"/>
      <c r="T32" s="680"/>
      <c r="U32" s="680"/>
    </row>
    <row r="33" spans="1:21" s="707" customFormat="1" ht="19.5" customHeight="1" x14ac:dyDescent="0.2">
      <c r="A33" s="701">
        <f>Led!D29</f>
        <v>28</v>
      </c>
      <c r="B33" s="702">
        <f>Led!E29</f>
        <v>4</v>
      </c>
      <c r="C33" s="703" t="str">
        <f>IF(ISNUMBER(A33),(IF(Led!F29=Led!$Q$94,Led!F29,IF(ISBLANK($C$4),"",Led!F29))),"")</f>
        <v/>
      </c>
      <c r="D33" s="740" t="str">
        <f>Led!CS29</f>
        <v>4-03</v>
      </c>
      <c r="E33" s="704"/>
      <c r="F33" s="704"/>
      <c r="G33" s="704"/>
      <c r="H33" s="704"/>
      <c r="I33" s="704"/>
      <c r="J33" s="704"/>
      <c r="K33" s="704"/>
      <c r="L33" s="723"/>
      <c r="M33" s="724"/>
      <c r="R33" s="727"/>
      <c r="T33" s="680"/>
      <c r="U33" s="680"/>
    </row>
    <row r="34" spans="1:21" s="707" customFormat="1" ht="19.5" customHeight="1" x14ac:dyDescent="0.2">
      <c r="A34" s="701" t="str">
        <f>Led!D30</f>
        <v/>
      </c>
      <c r="B34" s="702" t="str">
        <f>Led!E30</f>
        <v/>
      </c>
      <c r="C34" s="703" t="str">
        <f>IF(ISNUMBER(A34),(IF(Led!F30=Led!$Q$94,Led!F30,IF(ISBLANK($C$4),"",Led!F30))),"")</f>
        <v/>
      </c>
      <c r="D34" s="740" t="str">
        <f>Led!CS30</f>
        <v/>
      </c>
      <c r="E34" s="704"/>
      <c r="F34" s="704"/>
      <c r="G34" s="704"/>
      <c r="H34" s="704"/>
      <c r="I34" s="704"/>
      <c r="J34" s="704"/>
      <c r="K34" s="704"/>
      <c r="L34" s="723"/>
      <c r="M34" s="724"/>
      <c r="R34" s="727"/>
      <c r="T34" s="680"/>
      <c r="U34" s="680"/>
    </row>
    <row r="35" spans="1:21" s="707" customFormat="1" ht="19.5" customHeight="1" x14ac:dyDescent="0.2">
      <c r="A35" s="701" t="str">
        <f>Led!D31</f>
        <v/>
      </c>
      <c r="B35" s="702" t="str">
        <f>Led!E31</f>
        <v/>
      </c>
      <c r="C35" s="703" t="str">
        <f>IF(ISNUMBER(A35),(IF(Led!F31=Led!$Q$94,Led!F31,IF(ISBLANK($C$4),"",Led!F31))),"")</f>
        <v/>
      </c>
      <c r="D35" s="740" t="str">
        <f>Led!CS31</f>
        <v/>
      </c>
      <c r="E35" s="704"/>
      <c r="F35" s="704"/>
      <c r="G35" s="704"/>
      <c r="H35" s="704"/>
      <c r="I35" s="704"/>
      <c r="J35" s="704"/>
      <c r="K35" s="704"/>
      <c r="L35" s="723"/>
      <c r="M35" s="724"/>
      <c r="R35" s="727"/>
      <c r="T35" s="680"/>
      <c r="U35" s="680"/>
    </row>
    <row r="36" spans="1:21" s="707" customFormat="1" ht="19.5" customHeight="1" x14ac:dyDescent="0.2">
      <c r="A36" s="701" t="str">
        <f>Led!D32</f>
        <v/>
      </c>
      <c r="B36" s="702" t="str">
        <f>Led!E32</f>
        <v/>
      </c>
      <c r="C36" s="703" t="str">
        <f>IF(ISNUMBER(A36),(IF(Led!F32=Led!$Q$94,Led!F32,IF(ISBLANK($C$4),"",Led!F32))),"")</f>
        <v/>
      </c>
      <c r="D36" s="740" t="str">
        <f>Led!CS32</f>
        <v/>
      </c>
      <c r="E36" s="704"/>
      <c r="F36" s="704"/>
      <c r="G36" s="704"/>
      <c r="H36" s="704"/>
      <c r="I36" s="704"/>
      <c r="J36" s="704"/>
      <c r="K36" s="704"/>
      <c r="L36" s="723"/>
      <c r="M36" s="724"/>
      <c r="R36" s="727"/>
      <c r="T36" s="680"/>
      <c r="U36" s="680"/>
    </row>
    <row r="37" spans="1:21" s="707" customFormat="1" ht="19.5" customHeight="1" x14ac:dyDescent="0.2">
      <c r="A37" s="701" t="str">
        <f>Led!D33</f>
        <v/>
      </c>
      <c r="B37" s="702" t="str">
        <f>Led!E33</f>
        <v/>
      </c>
      <c r="C37" s="703" t="str">
        <f>IF(ISNUMBER(A37),(IF(Led!F33=Led!$Q$94,Led!F33,IF(ISBLANK($C$4),"",Led!F33))),"")</f>
        <v/>
      </c>
      <c r="D37" s="740" t="str">
        <f>Led!CS33</f>
        <v/>
      </c>
      <c r="E37" s="704"/>
      <c r="F37" s="704"/>
      <c r="G37" s="704"/>
      <c r="H37" s="704"/>
      <c r="I37" s="704"/>
      <c r="J37" s="704"/>
      <c r="K37" s="704"/>
      <c r="L37" s="709"/>
      <c r="M37" s="710"/>
      <c r="R37" s="727"/>
      <c r="T37" s="680"/>
      <c r="U37" s="680"/>
    </row>
    <row r="38" spans="1:21" s="707" customFormat="1" ht="19.5" customHeight="1" x14ac:dyDescent="0.2">
      <c r="A38" s="701" t="str">
        <f>Led!D34</f>
        <v/>
      </c>
      <c r="B38" s="702" t="str">
        <f>Led!E34</f>
        <v/>
      </c>
      <c r="C38" s="703" t="str">
        <f>IF(ISNUMBER(A38),(IF(Led!F34=Led!$Q$94,Led!F34,IF(ISBLANK($C$4),"",Led!F34))),"")</f>
        <v/>
      </c>
      <c r="D38" s="740" t="str">
        <f>Led!CS34</f>
        <v/>
      </c>
      <c r="E38" s="704"/>
      <c r="F38" s="704"/>
      <c r="G38" s="704"/>
      <c r="H38" s="704"/>
      <c r="I38" s="704"/>
      <c r="J38" s="704"/>
      <c r="K38" s="704"/>
      <c r="L38" s="711"/>
      <c r="M38" s="706"/>
      <c r="R38" s="727"/>
      <c r="T38" s="680"/>
      <c r="U38" s="680"/>
    </row>
    <row r="39" spans="1:21" s="707" customFormat="1" ht="19.5" customHeight="1" x14ac:dyDescent="0.2">
      <c r="A39" s="701" t="str">
        <f>Led!D35</f>
        <v/>
      </c>
      <c r="B39" s="702" t="str">
        <f>Led!E35</f>
        <v/>
      </c>
      <c r="C39" s="703" t="str">
        <f>IF(ISNUMBER(A39),(IF(Led!F35=Led!$Q$94,Led!F35,IF(ISBLANK($C$4),"",Led!F35))),"")</f>
        <v/>
      </c>
      <c r="D39" s="740" t="str">
        <f>Led!CS35</f>
        <v/>
      </c>
      <c r="E39" s="704"/>
      <c r="F39" s="704"/>
      <c r="G39" s="704"/>
      <c r="H39" s="704"/>
      <c r="I39" s="704"/>
      <c r="J39" s="704"/>
      <c r="K39" s="704"/>
      <c r="L39" s="711"/>
      <c r="M39" s="706"/>
      <c r="R39" s="727"/>
    </row>
    <row r="40" spans="1:21" s="707" customFormat="1" ht="19.5" customHeight="1" x14ac:dyDescent="0.2">
      <c r="A40" s="701" t="str">
        <f>Led!D36</f>
        <v/>
      </c>
      <c r="B40" s="702" t="str">
        <f>Led!E36</f>
        <v/>
      </c>
      <c r="C40" s="703" t="str">
        <f>IF(ISNUMBER(A40),(IF(Led!F36=Led!$Q$94,Led!F36,IF(ISBLANK($C$4),"",Led!F36))),"")</f>
        <v/>
      </c>
      <c r="D40" s="740" t="str">
        <f>Led!CS36</f>
        <v/>
      </c>
      <c r="E40" s="704"/>
      <c r="F40" s="704"/>
      <c r="G40" s="704"/>
      <c r="H40" s="704"/>
      <c r="I40" s="704"/>
      <c r="J40" s="704"/>
      <c r="K40" s="704"/>
      <c r="L40" s="711"/>
      <c r="M40" s="706"/>
      <c r="R40" s="727"/>
    </row>
    <row r="41" spans="1:21" s="707" customFormat="1" ht="19.5" customHeight="1" x14ac:dyDescent="0.2">
      <c r="A41" s="701" t="str">
        <f>Led!D37</f>
        <v/>
      </c>
      <c r="B41" s="702" t="str">
        <f>Led!E37</f>
        <v/>
      </c>
      <c r="C41" s="703" t="str">
        <f>IF(ISNUMBER(A41),(IF(Led!F37=Led!$Q$94,Led!F37,IF(ISBLANK($C$4),"",Led!F37))),"")</f>
        <v/>
      </c>
      <c r="D41" s="740" t="str">
        <f>Led!CS37</f>
        <v/>
      </c>
      <c r="E41" s="704"/>
      <c r="F41" s="704"/>
      <c r="G41" s="704"/>
      <c r="H41" s="704"/>
      <c r="I41" s="704"/>
      <c r="J41" s="704"/>
      <c r="K41" s="704"/>
      <c r="L41" s="711"/>
      <c r="M41" s="706"/>
      <c r="R41" s="727"/>
    </row>
    <row r="42" spans="1:21" s="707" customFormat="1" ht="19.5" customHeight="1" x14ac:dyDescent="0.2">
      <c r="A42" s="701" t="str">
        <f>Led!D38</f>
        <v/>
      </c>
      <c r="B42" s="702" t="str">
        <f>Led!E38</f>
        <v/>
      </c>
      <c r="C42" s="703" t="str">
        <f>IF(ISNUMBER(A42),(IF(Led!F38=Led!$Q$94,Led!F38,IF(ISBLANK($C$4),"",Led!F38))),"")</f>
        <v/>
      </c>
      <c r="D42" s="740" t="str">
        <f>Led!CS38</f>
        <v/>
      </c>
      <c r="E42" s="704"/>
      <c r="F42" s="704"/>
      <c r="G42" s="704"/>
      <c r="H42" s="704"/>
      <c r="I42" s="704"/>
      <c r="J42" s="704"/>
      <c r="K42" s="704"/>
      <c r="L42" s="711"/>
      <c r="M42" s="706"/>
      <c r="R42" s="727"/>
    </row>
    <row r="43" spans="1:21" s="707" customFormat="1" ht="19.5" customHeight="1" x14ac:dyDescent="0.2">
      <c r="A43" s="701" t="str">
        <f>Led!D39</f>
        <v/>
      </c>
      <c r="B43" s="702" t="str">
        <f>Led!E39</f>
        <v/>
      </c>
      <c r="C43" s="703" t="str">
        <f>IF(ISNUMBER(A43),(IF(Led!F39=Led!$Q$94,Led!F39,IF(ISBLANK($C$4),"",Led!F39))),"")</f>
        <v/>
      </c>
      <c r="D43" s="740" t="str">
        <f>Led!CS39</f>
        <v/>
      </c>
      <c r="E43" s="704"/>
      <c r="F43" s="704"/>
      <c r="G43" s="704"/>
      <c r="H43" s="704"/>
      <c r="I43" s="704"/>
      <c r="J43" s="704"/>
      <c r="K43" s="704"/>
      <c r="L43" s="711"/>
      <c r="M43" s="706"/>
      <c r="R43" s="727"/>
    </row>
    <row r="44" spans="1:21" s="707" customFormat="1" ht="19.5" customHeight="1" x14ac:dyDescent="0.2">
      <c r="A44" s="701" t="str">
        <f>Led!D40</f>
        <v/>
      </c>
      <c r="B44" s="702" t="str">
        <f>Led!E40</f>
        <v/>
      </c>
      <c r="C44" s="703" t="str">
        <f>IF(ISNUMBER(A44),(IF(Led!F40=Led!$Q$94,Led!F40,IF(ISBLANK($C$4),"",Led!F40))),"")</f>
        <v/>
      </c>
      <c r="D44" s="740" t="str">
        <f>Led!CS40</f>
        <v/>
      </c>
      <c r="E44" s="704"/>
      <c r="F44" s="704"/>
      <c r="G44" s="704"/>
      <c r="H44" s="704"/>
      <c r="I44" s="704"/>
      <c r="J44" s="704"/>
      <c r="K44" s="704"/>
      <c r="L44" s="711"/>
      <c r="M44" s="706"/>
      <c r="R44" s="727"/>
    </row>
    <row r="45" spans="1:21" s="707" customFormat="1" ht="19.5" customHeight="1" x14ac:dyDescent="0.2">
      <c r="A45" s="701" t="str">
        <f>Led!D41</f>
        <v/>
      </c>
      <c r="B45" s="702" t="str">
        <f>Led!E41</f>
        <v/>
      </c>
      <c r="C45" s="703" t="str">
        <f>IF(ISNUMBER(A45),(IF(Led!F41=Led!$Q$94,Led!F41,IF(ISBLANK($C$4),"",Led!F41))),"")</f>
        <v/>
      </c>
      <c r="D45" s="740" t="str">
        <f>Led!CS41</f>
        <v/>
      </c>
      <c r="E45" s="704"/>
      <c r="F45" s="704"/>
      <c r="G45" s="704"/>
      <c r="H45" s="704"/>
      <c r="I45" s="704"/>
      <c r="J45" s="704"/>
      <c r="K45" s="704"/>
      <c r="L45" s="723"/>
      <c r="M45" s="724"/>
      <c r="R45" s="727"/>
    </row>
    <row r="46" spans="1:21" s="707" customFormat="1" ht="19.5" customHeight="1" x14ac:dyDescent="0.2">
      <c r="A46" s="701" t="str">
        <f>Led!D42</f>
        <v/>
      </c>
      <c r="B46" s="702" t="str">
        <f>Led!E42</f>
        <v/>
      </c>
      <c r="C46" s="703" t="str">
        <f>IF(ISNUMBER(A46),(IF(Led!F42=Led!$Q$94,Led!F42,IF(ISBLANK($C$4),"",Led!F42))),"")</f>
        <v/>
      </c>
      <c r="D46" s="740" t="str">
        <f>Led!CS42</f>
        <v/>
      </c>
      <c r="E46" s="704"/>
      <c r="F46" s="704"/>
      <c r="G46" s="704"/>
      <c r="H46" s="704"/>
      <c r="I46" s="704"/>
      <c r="J46" s="704"/>
      <c r="K46" s="704"/>
      <c r="L46" s="723"/>
      <c r="M46" s="724"/>
      <c r="R46" s="727"/>
    </row>
    <row r="47" spans="1:21" s="707" customFormat="1" ht="19.5" customHeight="1" x14ac:dyDescent="0.2">
      <c r="A47" s="701" t="str">
        <f>Led!D43</f>
        <v/>
      </c>
      <c r="B47" s="702" t="str">
        <f>Led!E43</f>
        <v/>
      </c>
      <c r="C47" s="703" t="str">
        <f>IF(ISNUMBER(A47),(IF(Led!F43=Led!$Q$94,Led!F43,IF(ISBLANK($C$4),"",Led!F43))),"")</f>
        <v/>
      </c>
      <c r="D47" s="740" t="str">
        <f>Led!CS43</f>
        <v/>
      </c>
      <c r="E47" s="704"/>
      <c r="F47" s="704"/>
      <c r="G47" s="704"/>
      <c r="H47" s="704"/>
      <c r="I47" s="704"/>
      <c r="J47" s="704"/>
      <c r="K47" s="704"/>
      <c r="L47" s="723"/>
      <c r="M47" s="724"/>
      <c r="R47" s="727"/>
    </row>
    <row r="48" spans="1:21" s="707" customFormat="1" ht="19.5" customHeight="1" x14ac:dyDescent="0.2">
      <c r="A48" s="701" t="str">
        <f>Led!D44</f>
        <v/>
      </c>
      <c r="B48" s="702" t="str">
        <f>Led!E44</f>
        <v/>
      </c>
      <c r="C48" s="703" t="str">
        <f>IF(ISNUMBER(A48),(IF(Led!F44=Led!$Q$94,Led!F44,IF(ISBLANK($C$4),"",Led!F44))),"")</f>
        <v/>
      </c>
      <c r="D48" s="740" t="str">
        <f>Led!CS44</f>
        <v/>
      </c>
      <c r="E48" s="704"/>
      <c r="F48" s="704"/>
      <c r="G48" s="704"/>
      <c r="H48" s="708"/>
      <c r="I48" s="704"/>
      <c r="J48" s="704"/>
      <c r="K48" s="704"/>
      <c r="L48" s="723"/>
      <c r="M48" s="724"/>
      <c r="R48" s="727"/>
    </row>
    <row r="49" spans="1:18" s="707" customFormat="1" ht="19.5" customHeight="1" x14ac:dyDescent="0.2">
      <c r="A49" s="701" t="str">
        <f>Led!D45</f>
        <v/>
      </c>
      <c r="B49" s="702" t="str">
        <f>Led!E45</f>
        <v/>
      </c>
      <c r="C49" s="703" t="str">
        <f>IF(ISNUMBER(A49),(IF(Led!F45=Led!$Q$94,Led!F45,IF(ISBLANK($C$4),"",Led!F45))),"")</f>
        <v/>
      </c>
      <c r="D49" s="740" t="str">
        <f>Led!CS45</f>
        <v/>
      </c>
      <c r="E49" s="704"/>
      <c r="F49" s="704"/>
      <c r="G49" s="704"/>
      <c r="H49" s="704"/>
      <c r="I49" s="704"/>
      <c r="J49" s="704"/>
      <c r="K49" s="704"/>
      <c r="L49" s="723"/>
      <c r="M49" s="724"/>
      <c r="R49" s="727"/>
    </row>
    <row r="50" spans="1:18" s="707" customFormat="1" ht="19.5" customHeight="1" x14ac:dyDescent="0.2">
      <c r="A50" s="701" t="str">
        <f>Led!D46</f>
        <v/>
      </c>
      <c r="B50" s="702" t="str">
        <f>Led!E46</f>
        <v/>
      </c>
      <c r="C50" s="703" t="str">
        <f>IF(ISNUMBER(A50),(IF(Led!F46=Led!$Q$94,Led!F46,IF(ISBLANK($C$4),"",Led!F46))),"")</f>
        <v/>
      </c>
      <c r="D50" s="740" t="str">
        <f>Led!CS46</f>
        <v/>
      </c>
      <c r="E50" s="704"/>
      <c r="F50" s="704"/>
      <c r="G50" s="704"/>
      <c r="H50" s="704"/>
      <c r="I50" s="704"/>
      <c r="J50" s="704"/>
      <c r="K50" s="704"/>
      <c r="L50" s="723"/>
      <c r="M50" s="724"/>
      <c r="R50" s="727"/>
    </row>
    <row r="51" spans="1:18" s="707" customFormat="1" ht="19.5" customHeight="1" x14ac:dyDescent="0.2">
      <c r="A51" s="701" t="str">
        <f>Led!D47</f>
        <v/>
      </c>
      <c r="B51" s="702" t="str">
        <f>Led!E47</f>
        <v/>
      </c>
      <c r="C51" s="703" t="str">
        <f>IF(ISNUMBER(A51),(IF(Led!F47=Led!$Q$94,Led!F47,IF(ISBLANK($C$4),"",Led!F47))),"")</f>
        <v/>
      </c>
      <c r="D51" s="740" t="str">
        <f>Led!CS47</f>
        <v/>
      </c>
      <c r="E51" s="704"/>
      <c r="F51" s="704"/>
      <c r="G51" s="704"/>
      <c r="H51" s="704"/>
      <c r="I51" s="704"/>
      <c r="J51" s="704"/>
      <c r="K51" s="704"/>
      <c r="L51" s="723"/>
      <c r="M51" s="724"/>
      <c r="R51" s="727"/>
    </row>
    <row r="52" spans="1:18" s="707" customFormat="1" ht="19.5" customHeight="1" x14ac:dyDescent="0.2">
      <c r="A52" s="701" t="str">
        <f>Led!D48</f>
        <v/>
      </c>
      <c r="B52" s="702" t="str">
        <f>Led!E48</f>
        <v/>
      </c>
      <c r="C52" s="703" t="str">
        <f>IF(ISNUMBER(A52),(IF(Led!F48=Led!$Q$94,Led!F48,IF(ISBLANK($C$4),"",Led!F48))),"")</f>
        <v/>
      </c>
      <c r="D52" s="740" t="str">
        <f>Led!CS48</f>
        <v/>
      </c>
      <c r="E52" s="704"/>
      <c r="F52" s="704"/>
      <c r="G52" s="704"/>
      <c r="H52" s="704"/>
      <c r="I52" s="704"/>
      <c r="J52" s="704"/>
      <c r="K52" s="704"/>
      <c r="L52" s="723"/>
      <c r="M52" s="724"/>
      <c r="R52" s="727"/>
    </row>
    <row r="53" spans="1:18" s="707" customFormat="1" ht="19.5" customHeight="1" x14ac:dyDescent="0.2">
      <c r="A53" s="701" t="str">
        <f>Led!D49</f>
        <v/>
      </c>
      <c r="B53" s="702" t="str">
        <f>Led!E49</f>
        <v/>
      </c>
      <c r="C53" s="703" t="str">
        <f>IF(ISNUMBER(A53),(IF(Led!F49=Led!$Q$94,Led!F49,IF(ISBLANK($C$4),"",Led!F49))),"")</f>
        <v/>
      </c>
      <c r="D53" s="740" t="str">
        <f>Led!CS49</f>
        <v/>
      </c>
      <c r="E53" s="704"/>
      <c r="F53" s="704"/>
      <c r="G53" s="704"/>
      <c r="H53" s="704"/>
      <c r="I53" s="704"/>
      <c r="J53" s="704"/>
      <c r="K53" s="704"/>
      <c r="L53" s="723"/>
      <c r="M53" s="724"/>
      <c r="R53" s="727"/>
    </row>
    <row r="54" spans="1:18" s="707" customFormat="1" ht="19.5" customHeight="1" x14ac:dyDescent="0.2">
      <c r="A54" s="701" t="str">
        <f>Led!D50</f>
        <v/>
      </c>
      <c r="B54" s="702" t="str">
        <f>Led!E50</f>
        <v/>
      </c>
      <c r="C54" s="703" t="str">
        <f>IF(ISNUMBER(A54),(IF(Led!F50=Led!$Q$94,Led!F50,IF(ISBLANK($C$4),"",Led!F50))),"")</f>
        <v/>
      </c>
      <c r="D54" s="740" t="str">
        <f>Led!CS50</f>
        <v/>
      </c>
      <c r="E54" s="704"/>
      <c r="F54" s="704"/>
      <c r="G54" s="704"/>
      <c r="H54" s="704"/>
      <c r="I54" s="704"/>
      <c r="J54" s="704"/>
      <c r="K54" s="704"/>
      <c r="L54" s="723"/>
      <c r="M54" s="724"/>
      <c r="R54" s="727"/>
    </row>
    <row r="55" spans="1:18" s="707" customFormat="1" ht="19.5" customHeight="1" x14ac:dyDescent="0.2">
      <c r="A55" s="701" t="str">
        <f>Led!D51</f>
        <v/>
      </c>
      <c r="B55" s="702" t="str">
        <f>Led!E51</f>
        <v/>
      </c>
      <c r="C55" s="703" t="str">
        <f>IF(ISNUMBER(A55),(IF(Led!F51=Led!$Q$94,Led!F51,IF(ISBLANK($C$4),"",Led!F51))),"")</f>
        <v/>
      </c>
      <c r="D55" s="740" t="str">
        <f>Led!CS51</f>
        <v/>
      </c>
      <c r="E55" s="704"/>
      <c r="F55" s="704"/>
      <c r="G55" s="704"/>
      <c r="H55" s="704"/>
      <c r="I55" s="704"/>
      <c r="J55" s="704"/>
      <c r="K55" s="704"/>
      <c r="L55" s="723"/>
      <c r="M55" s="724"/>
      <c r="R55" s="727"/>
    </row>
    <row r="56" spans="1:18" s="707" customFormat="1" ht="19.5" customHeight="1" x14ac:dyDescent="0.2">
      <c r="A56" s="701" t="str">
        <f>Led!D52</f>
        <v/>
      </c>
      <c r="B56" s="702" t="str">
        <f>Led!E52</f>
        <v/>
      </c>
      <c r="C56" s="703" t="str">
        <f>IF(ISNUMBER(A56),(IF(Led!F52=Led!$Q$94,Led!F52,IF(ISBLANK($C$4),"",Led!F52))),"")</f>
        <v/>
      </c>
      <c r="D56" s="740" t="str">
        <f>Led!CS52</f>
        <v/>
      </c>
      <c r="E56" s="704"/>
      <c r="F56" s="704"/>
      <c r="G56" s="704"/>
      <c r="H56" s="704"/>
      <c r="I56" s="704"/>
      <c r="J56" s="704"/>
      <c r="K56" s="704"/>
      <c r="L56" s="723"/>
      <c r="M56" s="724"/>
      <c r="R56" s="727"/>
    </row>
    <row r="57" spans="1:18" s="707" customFormat="1" ht="19.5" customHeight="1" x14ac:dyDescent="0.2">
      <c r="A57" s="701" t="str">
        <f>Led!D53</f>
        <v/>
      </c>
      <c r="B57" s="702" t="str">
        <f>Led!E53</f>
        <v/>
      </c>
      <c r="C57" s="703" t="str">
        <f>IF(ISNUMBER(A57),(IF(Led!F53=Led!$Q$94,Led!F53,IF(ISBLANK($C$4),"",Led!F53))),"")</f>
        <v/>
      </c>
      <c r="D57" s="740" t="str">
        <f>Led!CS53</f>
        <v/>
      </c>
      <c r="E57" s="704"/>
      <c r="F57" s="704"/>
      <c r="G57" s="704"/>
      <c r="H57" s="704"/>
      <c r="I57" s="704"/>
      <c r="J57" s="704"/>
      <c r="K57" s="704"/>
      <c r="L57" s="723"/>
      <c r="M57" s="724"/>
      <c r="R57" s="727"/>
    </row>
    <row r="58" spans="1:18" s="707" customFormat="1" ht="19.5" customHeight="1" x14ac:dyDescent="0.2">
      <c r="A58" s="701" t="str">
        <f>Led!D54</f>
        <v/>
      </c>
      <c r="B58" s="702" t="str">
        <f>Led!E54</f>
        <v/>
      </c>
      <c r="C58" s="703" t="str">
        <f>IF(ISNUMBER(A58),(IF(Led!F54=Led!$Q$94,Led!F54,IF(ISBLANK($C$4),"",Led!F54))),"")</f>
        <v/>
      </c>
      <c r="D58" s="740" t="str">
        <f>Led!CS54</f>
        <v/>
      </c>
      <c r="E58" s="704"/>
      <c r="F58" s="704"/>
      <c r="G58" s="704"/>
      <c r="H58" s="704"/>
      <c r="I58" s="704"/>
      <c r="J58" s="704"/>
      <c r="K58" s="704"/>
      <c r="L58" s="723"/>
      <c r="M58" s="724"/>
      <c r="R58" s="727"/>
    </row>
    <row r="59" spans="1:18" s="707" customFormat="1" ht="19.5" customHeight="1" x14ac:dyDescent="0.2">
      <c r="A59" s="701" t="str">
        <f>Led!D55</f>
        <v/>
      </c>
      <c r="B59" s="702" t="str">
        <f>Led!E55</f>
        <v/>
      </c>
      <c r="C59" s="703" t="str">
        <f>IF(ISNUMBER(A59),(IF(Led!F55=Led!$Q$94,Led!F55,IF(ISBLANK($C$4),"",Led!F55))),"")</f>
        <v/>
      </c>
      <c r="D59" s="740" t="str">
        <f>Led!CS55</f>
        <v/>
      </c>
      <c r="E59" s="704"/>
      <c r="F59" s="704"/>
      <c r="G59" s="704"/>
      <c r="H59" s="704"/>
      <c r="I59" s="704"/>
      <c r="J59" s="704"/>
      <c r="K59" s="704"/>
      <c r="L59" s="723"/>
      <c r="M59" s="724"/>
      <c r="R59" s="727"/>
    </row>
    <row r="60" spans="1:18" s="707" customFormat="1" ht="19.5" customHeight="1" x14ac:dyDescent="0.2">
      <c r="A60" s="701" t="str">
        <f>Led!D56</f>
        <v/>
      </c>
      <c r="B60" s="702" t="str">
        <f>Led!E56</f>
        <v/>
      </c>
      <c r="C60" s="703" t="str">
        <f>IF(ISNUMBER(A60),(IF(Led!F56=Led!$Q$94,Led!F56,IF(ISBLANK($C$4),"",Led!F56))),"")</f>
        <v/>
      </c>
      <c r="D60" s="740" t="str">
        <f>Led!CS56</f>
        <v/>
      </c>
      <c r="E60" s="704"/>
      <c r="F60" s="704"/>
      <c r="G60" s="704"/>
      <c r="H60" s="704"/>
      <c r="I60" s="704"/>
      <c r="J60" s="704"/>
      <c r="K60" s="704"/>
      <c r="L60" s="723"/>
      <c r="M60" s="724"/>
      <c r="R60" s="727"/>
    </row>
    <row r="61" spans="1:18" s="707" customFormat="1" ht="19.5" customHeight="1" x14ac:dyDescent="0.2">
      <c r="A61" s="701" t="str">
        <f>Led!D57</f>
        <v/>
      </c>
      <c r="B61" s="702" t="str">
        <f>Led!E57</f>
        <v/>
      </c>
      <c r="C61" s="703" t="str">
        <f>IF(ISNUMBER(A61),(IF(Led!F57=Led!$Q$94,Led!F57,IF(ISBLANK($C$4),"",Led!F57))),"")</f>
        <v/>
      </c>
      <c r="D61" s="740" t="str">
        <f>Led!CS57</f>
        <v/>
      </c>
      <c r="E61" s="704"/>
      <c r="F61" s="704"/>
      <c r="G61" s="704"/>
      <c r="H61" s="704"/>
      <c r="I61" s="704"/>
      <c r="J61" s="704"/>
      <c r="K61" s="704"/>
      <c r="L61" s="723"/>
      <c r="M61" s="724"/>
      <c r="R61" s="727"/>
    </row>
    <row r="62" spans="1:18" s="707" customFormat="1" ht="19.5" customHeight="1" x14ac:dyDescent="0.2">
      <c r="A62" s="701" t="str">
        <f>Led!D58</f>
        <v/>
      </c>
      <c r="B62" s="702" t="str">
        <f>Led!E58</f>
        <v/>
      </c>
      <c r="C62" s="703" t="str">
        <f>IF(ISNUMBER(A62),(IF(Led!F58=Led!$Q$94,Led!F58,IF(ISBLANK($C$4),"",Led!F58))),"")</f>
        <v/>
      </c>
      <c r="D62" s="740" t="str">
        <f>Led!CS58</f>
        <v/>
      </c>
      <c r="E62" s="704"/>
      <c r="F62" s="704"/>
      <c r="G62" s="704"/>
      <c r="H62" s="704"/>
      <c r="I62" s="704"/>
      <c r="J62" s="704"/>
      <c r="K62" s="704"/>
      <c r="L62" s="723"/>
      <c r="M62" s="724"/>
      <c r="R62" s="727"/>
    </row>
    <row r="63" spans="1:18" s="707" customFormat="1" ht="19.5" customHeight="1" x14ac:dyDescent="0.2">
      <c r="A63" s="701" t="str">
        <f>Led!D59</f>
        <v/>
      </c>
      <c r="B63" s="702" t="str">
        <f>Led!E59</f>
        <v/>
      </c>
      <c r="C63" s="703" t="str">
        <f>IF(ISNUMBER(A63),(IF(Led!F59=Led!$Q$94,Led!F59,IF(ISBLANK($C$4),"",Led!F59))),"")</f>
        <v/>
      </c>
      <c r="D63" s="740" t="str">
        <f>Led!CS59</f>
        <v/>
      </c>
      <c r="E63" s="704"/>
      <c r="F63" s="704"/>
      <c r="G63" s="704"/>
      <c r="H63" s="704"/>
      <c r="I63" s="704"/>
      <c r="J63" s="704"/>
      <c r="K63" s="704"/>
      <c r="L63" s="723"/>
      <c r="M63" s="724"/>
      <c r="R63" s="727"/>
    </row>
    <row r="64" spans="1:18" s="707" customFormat="1" ht="19.5" customHeight="1" x14ac:dyDescent="0.2">
      <c r="A64" s="701" t="str">
        <f>Led!D60</f>
        <v/>
      </c>
      <c r="B64" s="702" t="str">
        <f>Led!E60</f>
        <v/>
      </c>
      <c r="C64" s="703" t="str">
        <f>IF(ISNUMBER(A64),(IF(Led!F60=Led!$Q$94,Led!F60,IF(ISBLANK($C$4),"",Led!F60))),"")</f>
        <v/>
      </c>
      <c r="D64" s="740" t="str">
        <f>Led!CS60</f>
        <v/>
      </c>
      <c r="E64" s="704"/>
      <c r="F64" s="704"/>
      <c r="G64" s="704"/>
      <c r="H64" s="704"/>
      <c r="I64" s="704"/>
      <c r="J64" s="704"/>
      <c r="K64" s="704"/>
      <c r="L64" s="723"/>
      <c r="M64" s="724"/>
      <c r="R64" s="727"/>
    </row>
    <row r="65" spans="1:18" s="707" customFormat="1" ht="19.5" customHeight="1" x14ac:dyDescent="0.2">
      <c r="A65" s="701" t="str">
        <f>Led!D61</f>
        <v/>
      </c>
      <c r="B65" s="702" t="str">
        <f>Led!E61</f>
        <v/>
      </c>
      <c r="C65" s="703" t="str">
        <f>IF(ISNUMBER(A65),(IF(Led!F61=Led!$Q$94,Led!F61,IF(ISBLANK($C$4),"",Led!F61))),"")</f>
        <v/>
      </c>
      <c r="D65" s="740" t="str">
        <f>Led!CS61</f>
        <v/>
      </c>
      <c r="E65" s="704"/>
      <c r="F65" s="704"/>
      <c r="G65" s="704"/>
      <c r="H65" s="704"/>
      <c r="I65" s="704"/>
      <c r="J65" s="704"/>
      <c r="K65" s="704"/>
      <c r="L65" s="723"/>
      <c r="M65" s="724"/>
      <c r="R65" s="727"/>
    </row>
    <row r="66" spans="1:18" s="707" customFormat="1" ht="19.5" customHeight="1" x14ac:dyDescent="0.2">
      <c r="A66" s="701" t="str">
        <f>Led!D62</f>
        <v/>
      </c>
      <c r="B66" s="702" t="str">
        <f>Led!E62</f>
        <v/>
      </c>
      <c r="C66" s="703" t="str">
        <f>IF(ISNUMBER(A66),(IF(Led!F62=Led!$Q$94,Led!F62,IF(ISBLANK($C$4),"",Led!F62))),"")</f>
        <v/>
      </c>
      <c r="D66" s="740" t="str">
        <f>Led!CS62</f>
        <v/>
      </c>
      <c r="E66" s="704"/>
      <c r="F66" s="704"/>
      <c r="G66" s="704"/>
      <c r="H66" s="704"/>
      <c r="I66" s="704"/>
      <c r="J66" s="704"/>
      <c r="K66" s="704"/>
      <c r="L66" s="723"/>
      <c r="M66" s="724"/>
      <c r="R66" s="727"/>
    </row>
    <row r="67" spans="1:18" s="707" customFormat="1" ht="19.5" customHeight="1" x14ac:dyDescent="0.2">
      <c r="A67" s="701" t="str">
        <f>Led!D63</f>
        <v/>
      </c>
      <c r="B67" s="702" t="str">
        <f>Led!E63</f>
        <v/>
      </c>
      <c r="C67" s="703" t="str">
        <f>IF(ISNUMBER(A67),(IF(Led!F63=Led!$Q$94,Led!F63,IF(ISBLANK($C$4),"",Led!F63))),"")</f>
        <v/>
      </c>
      <c r="D67" s="740" t="str">
        <f>Led!CS63</f>
        <v/>
      </c>
      <c r="E67" s="704"/>
      <c r="F67" s="704"/>
      <c r="G67" s="704"/>
      <c r="H67" s="704"/>
      <c r="I67" s="704"/>
      <c r="J67" s="704"/>
      <c r="K67" s="704"/>
      <c r="L67" s="723"/>
      <c r="M67" s="724"/>
      <c r="R67" s="727"/>
    </row>
    <row r="68" spans="1:18" s="707" customFormat="1" ht="19.5" customHeight="1" x14ac:dyDescent="0.2">
      <c r="A68" s="701" t="str">
        <f>Led!D64</f>
        <v/>
      </c>
      <c r="B68" s="702" t="str">
        <f>Led!E64</f>
        <v/>
      </c>
      <c r="C68" s="703" t="str">
        <f>IF(ISNUMBER(A68),(IF(Led!F64=Led!$Q$94,Led!F64,IF(ISBLANK($C$4),"",Led!F64))),"")</f>
        <v/>
      </c>
      <c r="D68" s="740" t="str">
        <f>Led!CS64</f>
        <v/>
      </c>
      <c r="E68" s="704"/>
      <c r="F68" s="704"/>
      <c r="G68" s="704"/>
      <c r="H68" s="704"/>
      <c r="I68" s="704"/>
      <c r="J68" s="704"/>
      <c r="K68" s="704"/>
      <c r="L68" s="723"/>
      <c r="M68" s="724"/>
      <c r="R68" s="727"/>
    </row>
    <row r="69" spans="1:18" s="707" customFormat="1" ht="19.5" customHeight="1" x14ac:dyDescent="0.2">
      <c r="A69" s="701" t="str">
        <f>Led!D65</f>
        <v/>
      </c>
      <c r="B69" s="702" t="str">
        <f>Led!E65</f>
        <v/>
      </c>
      <c r="C69" s="703" t="str">
        <f>IF(ISNUMBER(A69),(IF(Led!F65=Led!$Q$94,Led!F65,IF(ISBLANK($C$4),"",Led!F65))),"")</f>
        <v/>
      </c>
      <c r="D69" s="740" t="str">
        <f>Led!CS65</f>
        <v/>
      </c>
      <c r="E69" s="704"/>
      <c r="F69" s="704"/>
      <c r="G69" s="704"/>
      <c r="H69" s="704"/>
      <c r="I69" s="704"/>
      <c r="J69" s="704"/>
      <c r="K69" s="704"/>
      <c r="L69" s="723"/>
      <c r="M69" s="724"/>
      <c r="R69" s="727"/>
    </row>
    <row r="70" spans="1:18" s="707" customFormat="1" ht="19.5" customHeight="1" x14ac:dyDescent="0.2">
      <c r="A70" s="701" t="str">
        <f>Led!D66</f>
        <v/>
      </c>
      <c r="B70" s="702" t="str">
        <f>Led!E66</f>
        <v/>
      </c>
      <c r="C70" s="703" t="str">
        <f>IF(ISNUMBER(A70),(IF(Led!F66=Led!$Q$94,Led!F66,IF(ISBLANK($C$4),"",Led!F66))),"")</f>
        <v/>
      </c>
      <c r="D70" s="740" t="str">
        <f>Led!CS66</f>
        <v/>
      </c>
      <c r="E70" s="704"/>
      <c r="F70" s="704"/>
      <c r="G70" s="704"/>
      <c r="H70" s="704"/>
      <c r="I70" s="704"/>
      <c r="J70" s="704"/>
      <c r="K70" s="704"/>
      <c r="L70" s="723"/>
      <c r="M70" s="724"/>
      <c r="N70" s="680"/>
      <c r="O70" s="680"/>
      <c r="R70" s="727"/>
    </row>
    <row r="71" spans="1:18" ht="20.25" customHeight="1" x14ac:dyDescent="0.2">
      <c r="A71" s="701" t="str">
        <f>Led!D67</f>
        <v/>
      </c>
      <c r="B71" s="702" t="str">
        <f>Led!E67</f>
        <v/>
      </c>
      <c r="C71" s="703" t="str">
        <f>IF(ISNUMBER(A71),(IF(Led!F67=Led!$Q$94,Led!F67,IF(ISBLANK($C$4),"",Led!F67))),"")</f>
        <v/>
      </c>
      <c r="D71" s="740" t="str">
        <f>Led!CS67</f>
        <v/>
      </c>
      <c r="E71" s="704"/>
      <c r="F71" s="704"/>
      <c r="G71" s="704"/>
      <c r="H71" s="704"/>
      <c r="I71" s="704"/>
      <c r="J71" s="704"/>
      <c r="K71" s="704"/>
      <c r="L71" s="723"/>
      <c r="M71" s="724"/>
    </row>
    <row r="72" spans="1:18" ht="20.25" customHeight="1" x14ac:dyDescent="0.2">
      <c r="A72" s="701" t="str">
        <f>Led!D68</f>
        <v/>
      </c>
      <c r="B72" s="702" t="str">
        <f>Led!E68</f>
        <v/>
      </c>
      <c r="C72" s="703" t="str">
        <f>IF(ISNUMBER(A72),(IF(Led!F68=Led!$Q$94,Led!F68,IF(ISBLANK($C$4),"",Led!F68))),"")</f>
        <v/>
      </c>
      <c r="D72" s="740" t="str">
        <f>Led!CS68</f>
        <v/>
      </c>
      <c r="E72" s="704"/>
      <c r="F72" s="704"/>
      <c r="G72" s="704"/>
      <c r="H72" s="704"/>
      <c r="I72" s="704"/>
      <c r="J72" s="704"/>
      <c r="K72" s="704"/>
      <c r="L72" s="723"/>
      <c r="M72" s="724"/>
    </row>
    <row r="73" spans="1:18" ht="20.25" customHeight="1" x14ac:dyDescent="0.2">
      <c r="A73" s="701" t="str">
        <f>Led!D69</f>
        <v/>
      </c>
      <c r="B73" s="702" t="str">
        <f>Led!E69</f>
        <v/>
      </c>
      <c r="C73" s="703" t="str">
        <f>IF(ISNUMBER(A73),(IF(Led!F69=Led!$Q$94,Led!F69,IF(ISBLANK($C$4),"",Led!F69))),"")</f>
        <v/>
      </c>
      <c r="D73" s="740" t="str">
        <f>Led!CS69</f>
        <v/>
      </c>
      <c r="E73" s="704"/>
      <c r="F73" s="704"/>
      <c r="G73" s="704"/>
      <c r="H73" s="704"/>
      <c r="I73" s="704"/>
      <c r="J73" s="704"/>
      <c r="K73" s="704"/>
      <c r="L73" s="749"/>
      <c r="M73" s="750"/>
    </row>
    <row r="74" spans="1:18" x14ac:dyDescent="0.2">
      <c r="L74" s="727"/>
      <c r="M74" s="727"/>
    </row>
    <row r="75" spans="1:18" x14ac:dyDescent="0.2">
      <c r="L75" s="727"/>
      <c r="M75" s="727"/>
    </row>
    <row r="76" spans="1:18" x14ac:dyDescent="0.2">
      <c r="L76" s="727"/>
      <c r="M76" s="727"/>
    </row>
    <row r="77" spans="1:18" x14ac:dyDescent="0.2">
      <c r="L77" s="727"/>
      <c r="M77" s="727"/>
    </row>
    <row r="78" spans="1:18" x14ac:dyDescent="0.2">
      <c r="L78" s="727"/>
      <c r="M78" s="727"/>
    </row>
    <row r="79" spans="1:18" x14ac:dyDescent="0.2">
      <c r="L79" s="727"/>
      <c r="M79" s="727"/>
    </row>
    <row r="80" spans="1:18" x14ac:dyDescent="0.2">
      <c r="L80" s="727"/>
      <c r="M80" s="727"/>
    </row>
    <row r="81" spans="12:13" x14ac:dyDescent="0.2">
      <c r="L81" s="727"/>
      <c r="M81" s="727"/>
    </row>
    <row r="82" spans="12:13" x14ac:dyDescent="0.2">
      <c r="L82" s="727"/>
      <c r="M82" s="727"/>
    </row>
    <row r="83" spans="12:13" x14ac:dyDescent="0.2">
      <c r="L83" s="727"/>
      <c r="M83" s="727"/>
    </row>
    <row r="84" spans="12:13" x14ac:dyDescent="0.2">
      <c r="L84" s="727"/>
      <c r="M84" s="727"/>
    </row>
    <row r="85" spans="12:13" x14ac:dyDescent="0.2">
      <c r="L85" s="727"/>
      <c r="M85" s="727"/>
    </row>
    <row r="86" spans="12:13" x14ac:dyDescent="0.2">
      <c r="L86" s="727"/>
      <c r="M86" s="727"/>
    </row>
    <row r="87" spans="12:13" x14ac:dyDescent="0.2">
      <c r="L87" s="727"/>
      <c r="M87" s="727"/>
    </row>
    <row r="88" spans="12:13" x14ac:dyDescent="0.2">
      <c r="L88" s="727"/>
      <c r="M88" s="727"/>
    </row>
    <row r="89" spans="12:13" x14ac:dyDescent="0.2">
      <c r="L89" s="727"/>
      <c r="M89" s="727"/>
    </row>
    <row r="90" spans="12:13" x14ac:dyDescent="0.2">
      <c r="L90" s="727"/>
      <c r="M90" s="727"/>
    </row>
    <row r="91" spans="12:13" x14ac:dyDescent="0.2">
      <c r="L91" s="727"/>
      <c r="M91" s="727"/>
    </row>
    <row r="92" spans="12:13" x14ac:dyDescent="0.2">
      <c r="L92" s="727"/>
      <c r="M92" s="727"/>
    </row>
    <row r="93" spans="12:13" x14ac:dyDescent="0.2">
      <c r="L93" s="727"/>
      <c r="M93" s="727"/>
    </row>
    <row r="94" spans="12:13" x14ac:dyDescent="0.2">
      <c r="L94" s="727"/>
      <c r="M94" s="727"/>
    </row>
    <row r="95" spans="12:13" x14ac:dyDescent="0.2">
      <c r="L95" s="727"/>
      <c r="M95" s="727"/>
    </row>
    <row r="96" spans="12:13" x14ac:dyDescent="0.2">
      <c r="L96" s="727"/>
      <c r="M96" s="727"/>
    </row>
    <row r="97" spans="12:13" x14ac:dyDescent="0.2">
      <c r="L97" s="727"/>
      <c r="M97" s="727"/>
    </row>
    <row r="98" spans="12:13" x14ac:dyDescent="0.2">
      <c r="L98" s="727"/>
      <c r="M98" s="727"/>
    </row>
    <row r="99" spans="12:13" x14ac:dyDescent="0.2">
      <c r="L99" s="727"/>
      <c r="M99" s="727"/>
    </row>
    <row r="100" spans="12:13" x14ac:dyDescent="0.2">
      <c r="L100" s="727"/>
      <c r="M100" s="727"/>
    </row>
    <row r="101" spans="12:13" x14ac:dyDescent="0.2">
      <c r="L101" s="727"/>
      <c r="M101" s="727"/>
    </row>
    <row r="102" spans="12:13" x14ac:dyDescent="0.2">
      <c r="L102" s="727"/>
      <c r="M102" s="727"/>
    </row>
    <row r="103" spans="12:13" x14ac:dyDescent="0.2">
      <c r="L103" s="727"/>
      <c r="M103" s="727"/>
    </row>
    <row r="104" spans="12:13" x14ac:dyDescent="0.2">
      <c r="L104" s="727"/>
      <c r="M104" s="727"/>
    </row>
    <row r="105" spans="12:13" x14ac:dyDescent="0.2">
      <c r="L105" s="727"/>
      <c r="M105" s="727"/>
    </row>
    <row r="106" spans="12:13" x14ac:dyDescent="0.2">
      <c r="L106" s="727"/>
      <c r="M106" s="727"/>
    </row>
    <row r="107" spans="12:13" x14ac:dyDescent="0.2">
      <c r="L107" s="727"/>
      <c r="M107" s="727"/>
    </row>
    <row r="108" spans="12:13" x14ac:dyDescent="0.2">
      <c r="L108" s="727"/>
      <c r="M108" s="727"/>
    </row>
    <row r="109" spans="12:13" x14ac:dyDescent="0.2">
      <c r="L109" s="727"/>
      <c r="M109" s="727"/>
    </row>
    <row r="110" spans="12:13" x14ac:dyDescent="0.2">
      <c r="L110" s="727"/>
      <c r="M110" s="727"/>
    </row>
    <row r="111" spans="12:13" x14ac:dyDescent="0.2">
      <c r="L111" s="727"/>
      <c r="M111" s="727"/>
    </row>
    <row r="112" spans="12:13" x14ac:dyDescent="0.2">
      <c r="L112" s="727"/>
      <c r="M112" s="727"/>
    </row>
    <row r="113" spans="12:13" x14ac:dyDescent="0.2">
      <c r="L113" s="727"/>
      <c r="M113" s="727"/>
    </row>
    <row r="114" spans="12:13" x14ac:dyDescent="0.2">
      <c r="L114" s="727"/>
      <c r="M114" s="727"/>
    </row>
    <row r="115" spans="12:13" x14ac:dyDescent="0.2">
      <c r="L115" s="727"/>
      <c r="M115" s="727"/>
    </row>
    <row r="116" spans="12:13" x14ac:dyDescent="0.2">
      <c r="L116" s="727"/>
      <c r="M116" s="727"/>
    </row>
    <row r="117" spans="12:13" x14ac:dyDescent="0.2">
      <c r="L117" s="727"/>
      <c r="M117" s="727"/>
    </row>
    <row r="118" spans="12:13" x14ac:dyDescent="0.2">
      <c r="L118" s="727"/>
      <c r="M118" s="727"/>
    </row>
    <row r="119" spans="12:13" x14ac:dyDescent="0.2">
      <c r="L119" s="727"/>
      <c r="M119" s="727"/>
    </row>
    <row r="120" spans="12:13" x14ac:dyDescent="0.2">
      <c r="L120" s="727"/>
      <c r="M120" s="727"/>
    </row>
    <row r="121" spans="12:13" x14ac:dyDescent="0.2">
      <c r="L121" s="727"/>
      <c r="M121" s="727"/>
    </row>
    <row r="122" spans="12:13" x14ac:dyDescent="0.2">
      <c r="L122" s="727"/>
      <c r="M122" s="727"/>
    </row>
    <row r="123" spans="12:13" x14ac:dyDescent="0.2">
      <c r="L123" s="727"/>
      <c r="M123" s="727"/>
    </row>
    <row r="124" spans="12:13" x14ac:dyDescent="0.2">
      <c r="L124" s="727"/>
      <c r="M124" s="727"/>
    </row>
    <row r="125" spans="12:13" x14ac:dyDescent="0.2">
      <c r="L125" s="727"/>
      <c r="M125" s="727"/>
    </row>
    <row r="126" spans="12:13" x14ac:dyDescent="0.2">
      <c r="L126" s="727"/>
      <c r="M126" s="727"/>
    </row>
    <row r="127" spans="12:13" x14ac:dyDescent="0.2">
      <c r="L127" s="727"/>
      <c r="M127" s="727"/>
    </row>
    <row r="128" spans="12:13" x14ac:dyDescent="0.2">
      <c r="L128" s="727"/>
      <c r="M128" s="727"/>
    </row>
    <row r="129" spans="12:13" x14ac:dyDescent="0.2">
      <c r="L129" s="727"/>
      <c r="M129" s="727"/>
    </row>
    <row r="130" spans="12:13" x14ac:dyDescent="0.2">
      <c r="L130" s="727"/>
      <c r="M130" s="727"/>
    </row>
    <row r="131" spans="12:13" x14ac:dyDescent="0.2">
      <c r="L131" s="727"/>
      <c r="M131" s="727"/>
    </row>
    <row r="132" spans="12:13" x14ac:dyDescent="0.2">
      <c r="L132" s="727"/>
      <c r="M132" s="727"/>
    </row>
    <row r="133" spans="12:13" x14ac:dyDescent="0.2">
      <c r="L133" s="727"/>
      <c r="M133" s="727"/>
    </row>
    <row r="134" spans="12:13" x14ac:dyDescent="0.2">
      <c r="L134" s="727"/>
      <c r="M134" s="727"/>
    </row>
    <row r="135" spans="12:13" x14ac:dyDescent="0.2">
      <c r="L135" s="727"/>
      <c r="M135" s="727"/>
    </row>
    <row r="136" spans="12:13" x14ac:dyDescent="0.2">
      <c r="L136" s="727"/>
      <c r="M136" s="727"/>
    </row>
    <row r="137" spans="12:13" x14ac:dyDescent="0.2">
      <c r="L137" s="727"/>
      <c r="M137" s="727"/>
    </row>
    <row r="138" spans="12:13" x14ac:dyDescent="0.2">
      <c r="L138" s="727"/>
      <c r="M138" s="727"/>
    </row>
    <row r="139" spans="12:13" x14ac:dyDescent="0.2">
      <c r="L139" s="727"/>
      <c r="M139" s="727"/>
    </row>
    <row r="140" spans="12:13" x14ac:dyDescent="0.2">
      <c r="L140" s="727"/>
      <c r="M140" s="727"/>
    </row>
    <row r="141" spans="12:13" x14ac:dyDescent="0.2">
      <c r="L141" s="727"/>
      <c r="M141" s="727"/>
    </row>
    <row r="142" spans="12:13" x14ac:dyDescent="0.2">
      <c r="L142" s="727"/>
      <c r="M142" s="727"/>
    </row>
    <row r="143" spans="12:13" x14ac:dyDescent="0.2">
      <c r="L143" s="727"/>
      <c r="M143" s="727"/>
    </row>
    <row r="144" spans="12:13" x14ac:dyDescent="0.2">
      <c r="L144" s="727"/>
      <c r="M144" s="727"/>
    </row>
    <row r="145" spans="12:13" x14ac:dyDescent="0.2">
      <c r="L145" s="727"/>
      <c r="M145" s="727"/>
    </row>
    <row r="146" spans="12:13" x14ac:dyDescent="0.2">
      <c r="L146" s="727"/>
      <c r="M146" s="727"/>
    </row>
    <row r="147" spans="12:13" x14ac:dyDescent="0.2">
      <c r="L147" s="727"/>
      <c r="M147" s="727"/>
    </row>
    <row r="148" spans="12:13" x14ac:dyDescent="0.2">
      <c r="L148" s="727"/>
      <c r="M148" s="727"/>
    </row>
    <row r="149" spans="12:13" x14ac:dyDescent="0.2">
      <c r="L149" s="727"/>
      <c r="M149" s="727"/>
    </row>
    <row r="150" spans="12:13" x14ac:dyDescent="0.2">
      <c r="L150" s="727"/>
      <c r="M150" s="727"/>
    </row>
    <row r="151" spans="12:13" x14ac:dyDescent="0.2">
      <c r="L151" s="727"/>
      <c r="M151" s="727"/>
    </row>
    <row r="152" spans="12:13" x14ac:dyDescent="0.2">
      <c r="L152" s="727"/>
      <c r="M152" s="727"/>
    </row>
    <row r="153" spans="12:13" x14ac:dyDescent="0.2">
      <c r="L153" s="727"/>
      <c r="M153" s="727"/>
    </row>
    <row r="154" spans="12:13" x14ac:dyDescent="0.2">
      <c r="L154" s="727"/>
      <c r="M154" s="727"/>
    </row>
    <row r="155" spans="12:13" x14ac:dyDescent="0.2">
      <c r="L155" s="727"/>
      <c r="M155" s="727"/>
    </row>
    <row r="156" spans="12:13" x14ac:dyDescent="0.2">
      <c r="L156" s="727"/>
      <c r="M156" s="727"/>
    </row>
    <row r="157" spans="12:13" x14ac:dyDescent="0.2">
      <c r="L157" s="727"/>
      <c r="M157" s="727"/>
    </row>
    <row r="158" spans="12:13" x14ac:dyDescent="0.2">
      <c r="L158" s="727"/>
      <c r="M158" s="727"/>
    </row>
    <row r="159" spans="12:13" x14ac:dyDescent="0.2">
      <c r="L159" s="727"/>
      <c r="M159" s="727"/>
    </row>
    <row r="160" spans="12:13" x14ac:dyDescent="0.2">
      <c r="L160" s="727"/>
      <c r="M160" s="727"/>
    </row>
    <row r="161" spans="12:13" x14ac:dyDescent="0.2">
      <c r="L161" s="727"/>
      <c r="M161" s="727"/>
    </row>
    <row r="162" spans="12:13" x14ac:dyDescent="0.2">
      <c r="L162" s="727"/>
      <c r="M162" s="727"/>
    </row>
    <row r="163" spans="12:13" x14ac:dyDescent="0.2">
      <c r="L163" s="727"/>
      <c r="M163" s="727"/>
    </row>
    <row r="164" spans="12:13" x14ac:dyDescent="0.2">
      <c r="L164" s="727"/>
      <c r="M164" s="727"/>
    </row>
    <row r="165" spans="12:13" x14ac:dyDescent="0.2">
      <c r="L165" s="727"/>
      <c r="M165" s="727"/>
    </row>
    <row r="166" spans="12:13" x14ac:dyDescent="0.2">
      <c r="L166" s="727"/>
      <c r="M166" s="727"/>
    </row>
    <row r="167" spans="12:13" x14ac:dyDescent="0.2">
      <c r="L167" s="727"/>
      <c r="M167" s="727"/>
    </row>
    <row r="168" spans="12:13" x14ac:dyDescent="0.2">
      <c r="L168" s="727"/>
      <c r="M168" s="727"/>
    </row>
  </sheetData>
  <sheetProtection sheet="1" objects="1" scenarios="1"/>
  <mergeCells count="4">
    <mergeCell ref="A2:C2"/>
    <mergeCell ref="I2:J2"/>
    <mergeCell ref="L2:M2"/>
    <mergeCell ref="L4:M4"/>
  </mergeCells>
  <dataValidations count="3">
    <dataValidation type="list" allowBlank="1" showInputMessage="1" showErrorMessage="1" sqref="WVM983044:WVS983044 QTY983044:QUE983044 QKC983044:QKI983044 QAG983044:QAM983044 PQK983044:PQQ983044 PGO983044:PGU983044 OWS983044:OWY983044 OMW983044:ONC983044 ODA983044:ODG983044 NTE983044:NTK983044 NJI983044:NJO983044 MZM983044:MZS983044 MPQ983044:MPW983044 MFU983044:MGA983044 LVY983044:LWE983044 LMC983044:LMI983044 LCG983044:LCM983044 KSK983044:KSQ983044 KIO983044:KIU983044 JYS983044:JYY983044 JOW983044:JPC983044 JFA983044:JFG983044 IVE983044:IVK983044 ILI983044:ILO983044 IBM983044:IBS983044 HRQ983044:HRW983044 HHU983044:HIA983044 GXY983044:GYE983044 GOC983044:GOI983044 GEG983044:GEM983044 FUK983044:FUQ983044 FKO983044:FKU983044 FAS983044:FAY983044 EQW983044:ERC983044 EHA983044:EHG983044 DXE983044:DXK983044 DNI983044:DNO983044 DDM983044:DDS983044 CTQ983044:CTW983044 CJU983044:CKA983044 BZY983044:CAE983044 BQC983044:BQI983044 BGG983044:BGM983044 AWK983044:AWQ983044 AMO983044:AMU983044 ACS983044:ACY983044 SW983044:TC983044 JA983044:JG983044 WLQ983044:WLW983044 WVM917508:WVS917508 WLQ917508:WLW917508 WBU917508:WCA917508 VRY917508:VSE917508 VIC917508:VII917508 UYG917508:UYM917508 UOK917508:UOQ917508 UEO917508:UEU917508 TUS917508:TUY917508 TKW917508:TLC917508 TBA917508:TBG917508 SRE917508:SRK917508 SHI917508:SHO917508 RXM917508:RXS917508 RNQ917508:RNW917508 RDU917508:REA917508 QTY917508:QUE917508 QKC917508:QKI917508 QAG917508:QAM917508 PQK917508:PQQ917508 PGO917508:PGU917508 OWS917508:OWY917508 OMW917508:ONC917508 ODA917508:ODG917508 NTE917508:NTK917508 NJI917508:NJO917508 MZM917508:MZS917508 MPQ917508:MPW917508 MFU917508:MGA917508 LVY917508:LWE917508 LMC917508:LMI917508 LCG917508:LCM917508 KSK917508:KSQ917508 KIO917508:KIU917508 JYS917508:JYY917508 JOW917508:JPC917508 JFA917508:JFG917508 IVE917508:IVK917508 ILI917508:ILO917508 IBM917508:IBS917508 HRQ917508:HRW917508 HHU917508:HIA917508 GXY917508:GYE917508 GOC917508:GOI917508 GEG917508:GEM917508 FUK917508:FUQ917508 FKO917508:FKU917508 FAS917508:FAY917508 EQW917508:ERC917508 EHA917508:EHG917508 DXE917508:DXK917508 DNI917508:DNO917508 DDM917508:DDS917508 CTQ917508:CTW917508 CJU917508:CKA917508 BZY917508:CAE917508 BQC917508:BQI917508 BGG917508:BGM917508 AWK917508:AWQ917508 AMO917508:AMU917508 ACS917508:ACY917508 SW917508:TC917508 JA917508:JG917508 WBU983044:WCA983044 WVM851972:WVS851972 WLQ851972:WLW851972 WBU851972:WCA851972 VRY851972:VSE851972 VIC851972:VII851972 UYG851972:UYM851972 UOK851972:UOQ851972 UEO851972:UEU851972 TUS851972:TUY851972 TKW851972:TLC851972 TBA851972:TBG851972 SRE851972:SRK851972 SHI851972:SHO851972 RXM851972:RXS851972 RNQ851972:RNW851972 RDU851972:REA851972 QTY851972:QUE851972 QKC851972:QKI851972 QAG851972:QAM851972 PQK851972:PQQ851972 PGO851972:PGU851972 OWS851972:OWY851972 OMW851972:ONC851972 ODA851972:ODG851972 NTE851972:NTK851972 NJI851972:NJO851972 MZM851972:MZS851972 MPQ851972:MPW851972 MFU851972:MGA851972 LVY851972:LWE851972 LMC851972:LMI851972 LCG851972:LCM851972 KSK851972:KSQ851972 KIO851972:KIU851972 JYS851972:JYY851972 JOW851972:JPC851972 JFA851972:JFG851972 IVE851972:IVK851972 ILI851972:ILO851972 IBM851972:IBS851972 HRQ851972:HRW851972 HHU851972:HIA851972 GXY851972:GYE851972 GOC851972:GOI851972 GEG851972:GEM851972 FUK851972:FUQ851972 FKO851972:FKU851972 FAS851972:FAY851972 EQW851972:ERC851972 EHA851972:EHG851972 DXE851972:DXK851972 DNI851972:DNO851972 DDM851972:DDS851972 CTQ851972:CTW851972 CJU851972:CKA851972 BZY851972:CAE851972 BQC851972:BQI851972 BGG851972:BGM851972 AWK851972:AWQ851972 AMO851972:AMU851972 ACS851972:ACY851972 SW851972:TC851972 JA851972:JG851972 VRY983044:VSE983044 WVM786436:WVS786436 WLQ786436:WLW786436 WBU786436:WCA786436 VRY786436:VSE786436 VIC786436:VII786436 UYG786436:UYM786436 UOK786436:UOQ786436 UEO786436:UEU786436 TUS786436:TUY786436 TKW786436:TLC786436 TBA786436:TBG786436 SRE786436:SRK786436 SHI786436:SHO786436 RXM786436:RXS786436 RNQ786436:RNW786436 RDU786436:REA786436 QTY786436:QUE786436 QKC786436:QKI786436 QAG786436:QAM786436 PQK786436:PQQ786436 PGO786436:PGU786436 OWS786436:OWY786436 OMW786436:ONC786436 ODA786436:ODG786436 NTE786436:NTK786436 NJI786436:NJO786436 MZM786436:MZS786436 MPQ786436:MPW786436 MFU786436:MGA786436 LVY786436:LWE786436 LMC786436:LMI786436 LCG786436:LCM786436 KSK786436:KSQ786436 KIO786436:KIU786436 JYS786436:JYY786436 JOW786436:JPC786436 JFA786436:JFG786436 IVE786436:IVK786436 ILI786436:ILO786436 IBM786436:IBS786436 HRQ786436:HRW786436 HHU786436:HIA786436 GXY786436:GYE786436 GOC786436:GOI786436 GEG786436:GEM786436 FUK786436:FUQ786436 FKO786436:FKU786436 FAS786436:FAY786436 EQW786436:ERC786436 EHA786436:EHG786436 DXE786436:DXK786436 DNI786436:DNO786436 DDM786436:DDS786436 CTQ786436:CTW786436 CJU786436:CKA786436 BZY786436:CAE786436 BQC786436:BQI786436 BGG786436:BGM786436 AWK786436:AWQ786436 AMO786436:AMU786436 ACS786436:ACY786436 SW786436:TC786436 JA786436:JG786436 VIC983044:VII983044 WVM720900:WVS720900 WLQ720900:WLW720900 WBU720900:WCA720900 VRY720900:VSE720900 VIC720900:VII720900 UYG720900:UYM720900 UOK720900:UOQ720900 UEO720900:UEU720900 TUS720900:TUY720900 TKW720900:TLC720900 TBA720900:TBG720900 SRE720900:SRK720900 SHI720900:SHO720900 RXM720900:RXS720900 RNQ720900:RNW720900 RDU720900:REA720900 QTY720900:QUE720900 QKC720900:QKI720900 QAG720900:QAM720900 PQK720900:PQQ720900 PGO720900:PGU720900 OWS720900:OWY720900 OMW720900:ONC720900 ODA720900:ODG720900 NTE720900:NTK720900 NJI720900:NJO720900 MZM720900:MZS720900 MPQ720900:MPW720900 MFU720900:MGA720900 LVY720900:LWE720900 LMC720900:LMI720900 LCG720900:LCM720900 KSK720900:KSQ720900 KIO720900:KIU720900 JYS720900:JYY720900 JOW720900:JPC720900 JFA720900:JFG720900 IVE720900:IVK720900 ILI720900:ILO720900 IBM720900:IBS720900 HRQ720900:HRW720900 HHU720900:HIA720900 GXY720900:GYE720900 GOC720900:GOI720900 GEG720900:GEM720900 FUK720900:FUQ720900 FKO720900:FKU720900 FAS720900:FAY720900 EQW720900:ERC720900 EHA720900:EHG720900 DXE720900:DXK720900 DNI720900:DNO720900 DDM720900:DDS720900 CTQ720900:CTW720900 CJU720900:CKA720900 BZY720900:CAE720900 BQC720900:BQI720900 BGG720900:BGM720900 AWK720900:AWQ720900 AMO720900:AMU720900 ACS720900:ACY720900 SW720900:TC720900 JA720900:JG720900 UYG983044:UYM983044 WVM655364:WVS655364 WLQ655364:WLW655364 WBU655364:WCA655364 VRY655364:VSE655364 VIC655364:VII655364 UYG655364:UYM655364 UOK655364:UOQ655364 UEO655364:UEU655364 TUS655364:TUY655364 TKW655364:TLC655364 TBA655364:TBG655364 SRE655364:SRK655364 SHI655364:SHO655364 RXM655364:RXS655364 RNQ655364:RNW655364 RDU655364:REA655364 QTY655364:QUE655364 QKC655364:QKI655364 QAG655364:QAM655364 PQK655364:PQQ655364 PGO655364:PGU655364 OWS655364:OWY655364 OMW655364:ONC655364 ODA655364:ODG655364 NTE655364:NTK655364 NJI655364:NJO655364 MZM655364:MZS655364 MPQ655364:MPW655364 MFU655364:MGA655364 LVY655364:LWE655364 LMC655364:LMI655364 LCG655364:LCM655364 KSK655364:KSQ655364 KIO655364:KIU655364 JYS655364:JYY655364 JOW655364:JPC655364 JFA655364:JFG655364 IVE655364:IVK655364 ILI655364:ILO655364 IBM655364:IBS655364 HRQ655364:HRW655364 HHU655364:HIA655364 GXY655364:GYE655364 GOC655364:GOI655364 GEG655364:GEM655364 FUK655364:FUQ655364 FKO655364:FKU655364 FAS655364:FAY655364 EQW655364:ERC655364 EHA655364:EHG655364 DXE655364:DXK655364 DNI655364:DNO655364 DDM655364:DDS655364 CTQ655364:CTW655364 CJU655364:CKA655364 BZY655364:CAE655364 BQC655364:BQI655364 BGG655364:BGM655364 AWK655364:AWQ655364 AMO655364:AMU655364 ACS655364:ACY655364 SW655364:TC655364 JA655364:JG655364 UOK983044:UOQ983044 WVM589828:WVS589828 WLQ589828:WLW589828 WBU589828:WCA589828 VRY589828:VSE589828 VIC589828:VII589828 UYG589828:UYM589828 UOK589828:UOQ589828 UEO589828:UEU589828 TUS589828:TUY589828 TKW589828:TLC589828 TBA589828:TBG589828 SRE589828:SRK589828 SHI589828:SHO589828 RXM589828:RXS589828 RNQ589828:RNW589828 RDU589828:REA589828 QTY589828:QUE589828 QKC589828:QKI589828 QAG589828:QAM589828 PQK589828:PQQ589828 PGO589828:PGU589828 OWS589828:OWY589828 OMW589828:ONC589828 ODA589828:ODG589828 NTE589828:NTK589828 NJI589828:NJO589828 MZM589828:MZS589828 MPQ589828:MPW589828 MFU589828:MGA589828 LVY589828:LWE589828 LMC589828:LMI589828 LCG589828:LCM589828 KSK589828:KSQ589828 KIO589828:KIU589828 JYS589828:JYY589828 JOW589828:JPC589828 JFA589828:JFG589828 IVE589828:IVK589828 ILI589828:ILO589828 IBM589828:IBS589828 HRQ589828:HRW589828 HHU589828:HIA589828 GXY589828:GYE589828 GOC589828:GOI589828 GEG589828:GEM589828 FUK589828:FUQ589828 FKO589828:FKU589828 FAS589828:FAY589828 EQW589828:ERC589828 EHA589828:EHG589828 DXE589828:DXK589828 DNI589828:DNO589828 DDM589828:DDS589828 CTQ589828:CTW589828 CJU589828:CKA589828 BZY589828:CAE589828 BQC589828:BQI589828 BGG589828:BGM589828 AWK589828:AWQ589828 AMO589828:AMU589828 ACS589828:ACY589828 SW589828:TC589828 JA589828:JG589828 UEO983044:UEU983044 WVM524292:WVS524292 WLQ524292:WLW524292 WBU524292:WCA524292 VRY524292:VSE524292 VIC524292:VII524292 UYG524292:UYM524292 UOK524292:UOQ524292 UEO524292:UEU524292 TUS524292:TUY524292 TKW524292:TLC524292 TBA524292:TBG524292 SRE524292:SRK524292 SHI524292:SHO524292 RXM524292:RXS524292 RNQ524292:RNW524292 RDU524292:REA524292 QTY524292:QUE524292 QKC524292:QKI524292 QAG524292:QAM524292 PQK524292:PQQ524292 PGO524292:PGU524292 OWS524292:OWY524292 OMW524292:ONC524292 ODA524292:ODG524292 NTE524292:NTK524292 NJI524292:NJO524292 MZM524292:MZS524292 MPQ524292:MPW524292 MFU524292:MGA524292 LVY524292:LWE524292 LMC524292:LMI524292 LCG524292:LCM524292 KSK524292:KSQ524292 KIO524292:KIU524292 JYS524292:JYY524292 JOW524292:JPC524292 JFA524292:JFG524292 IVE524292:IVK524292 ILI524292:ILO524292 IBM524292:IBS524292 HRQ524292:HRW524292 HHU524292:HIA524292 GXY524292:GYE524292 GOC524292:GOI524292 GEG524292:GEM524292 FUK524292:FUQ524292 FKO524292:FKU524292 FAS524292:FAY524292 EQW524292:ERC524292 EHA524292:EHG524292 DXE524292:DXK524292 DNI524292:DNO524292 DDM524292:DDS524292 CTQ524292:CTW524292 CJU524292:CKA524292 BZY524292:CAE524292 BQC524292:BQI524292 BGG524292:BGM524292 AWK524292:AWQ524292 AMO524292:AMU524292 ACS524292:ACY524292 SW524292:TC524292 JA524292:JG524292 TUS983044:TUY983044 WVM458756:WVS458756 WLQ458756:WLW458756 WBU458756:WCA458756 VRY458756:VSE458756 VIC458756:VII458756 UYG458756:UYM458756 UOK458756:UOQ458756 UEO458756:UEU458756 TUS458756:TUY458756 TKW458756:TLC458756 TBA458756:TBG458756 SRE458756:SRK458756 SHI458756:SHO458756 RXM458756:RXS458756 RNQ458756:RNW458756 RDU458756:REA458756 QTY458756:QUE458756 QKC458756:QKI458756 QAG458756:QAM458756 PQK458756:PQQ458756 PGO458756:PGU458756 OWS458756:OWY458756 OMW458756:ONC458756 ODA458756:ODG458756 NTE458756:NTK458756 NJI458756:NJO458756 MZM458756:MZS458756 MPQ458756:MPW458756 MFU458756:MGA458756 LVY458756:LWE458756 LMC458756:LMI458756 LCG458756:LCM458756 KSK458756:KSQ458756 KIO458756:KIU458756 JYS458756:JYY458756 JOW458756:JPC458756 JFA458756:JFG458756 IVE458756:IVK458756 ILI458756:ILO458756 IBM458756:IBS458756 HRQ458756:HRW458756 HHU458756:HIA458756 GXY458756:GYE458756 GOC458756:GOI458756 GEG458756:GEM458756 FUK458756:FUQ458756 FKO458756:FKU458756 FAS458756:FAY458756 EQW458756:ERC458756 EHA458756:EHG458756 DXE458756:DXK458756 DNI458756:DNO458756 DDM458756:DDS458756 CTQ458756:CTW458756 CJU458756:CKA458756 BZY458756:CAE458756 BQC458756:BQI458756 BGG458756:BGM458756 AWK458756:AWQ458756 AMO458756:AMU458756 ACS458756:ACY458756 SW458756:TC458756 JA458756:JG458756 TKW983044:TLC983044 WVM393220:WVS393220 WLQ393220:WLW393220 WBU393220:WCA393220 VRY393220:VSE393220 VIC393220:VII393220 UYG393220:UYM393220 UOK393220:UOQ393220 UEO393220:UEU393220 TUS393220:TUY393220 TKW393220:TLC393220 TBA393220:TBG393220 SRE393220:SRK393220 SHI393220:SHO393220 RXM393220:RXS393220 RNQ393220:RNW393220 RDU393220:REA393220 QTY393220:QUE393220 QKC393220:QKI393220 QAG393220:QAM393220 PQK393220:PQQ393220 PGO393220:PGU393220 OWS393220:OWY393220 OMW393220:ONC393220 ODA393220:ODG393220 NTE393220:NTK393220 NJI393220:NJO393220 MZM393220:MZS393220 MPQ393220:MPW393220 MFU393220:MGA393220 LVY393220:LWE393220 LMC393220:LMI393220 LCG393220:LCM393220 KSK393220:KSQ393220 KIO393220:KIU393220 JYS393220:JYY393220 JOW393220:JPC393220 JFA393220:JFG393220 IVE393220:IVK393220 ILI393220:ILO393220 IBM393220:IBS393220 HRQ393220:HRW393220 HHU393220:HIA393220 GXY393220:GYE393220 GOC393220:GOI393220 GEG393220:GEM393220 FUK393220:FUQ393220 FKO393220:FKU393220 FAS393220:FAY393220 EQW393220:ERC393220 EHA393220:EHG393220 DXE393220:DXK393220 DNI393220:DNO393220 DDM393220:DDS393220 CTQ393220:CTW393220 CJU393220:CKA393220 BZY393220:CAE393220 BQC393220:BQI393220 BGG393220:BGM393220 AWK393220:AWQ393220 AMO393220:AMU393220 ACS393220:ACY393220 SW393220:TC393220 JA393220:JG393220 TBA983044:TBG983044 WVM327684:WVS327684 WLQ327684:WLW327684 WBU327684:WCA327684 VRY327684:VSE327684 VIC327684:VII327684 UYG327684:UYM327684 UOK327684:UOQ327684 UEO327684:UEU327684 TUS327684:TUY327684 TKW327684:TLC327684 TBA327684:TBG327684 SRE327684:SRK327684 SHI327684:SHO327684 RXM327684:RXS327684 RNQ327684:RNW327684 RDU327684:REA327684 QTY327684:QUE327684 QKC327684:QKI327684 QAG327684:QAM327684 PQK327684:PQQ327684 PGO327684:PGU327684 OWS327684:OWY327684 OMW327684:ONC327684 ODA327684:ODG327684 NTE327684:NTK327684 NJI327684:NJO327684 MZM327684:MZS327684 MPQ327684:MPW327684 MFU327684:MGA327684 LVY327684:LWE327684 LMC327684:LMI327684 LCG327684:LCM327684 KSK327684:KSQ327684 KIO327684:KIU327684 JYS327684:JYY327684 JOW327684:JPC327684 JFA327684:JFG327684 IVE327684:IVK327684 ILI327684:ILO327684 IBM327684:IBS327684 HRQ327684:HRW327684 HHU327684:HIA327684 GXY327684:GYE327684 GOC327684:GOI327684 GEG327684:GEM327684 FUK327684:FUQ327684 FKO327684:FKU327684 FAS327684:FAY327684 EQW327684:ERC327684 EHA327684:EHG327684 DXE327684:DXK327684 DNI327684:DNO327684 DDM327684:DDS327684 CTQ327684:CTW327684 CJU327684:CKA327684 BZY327684:CAE327684 BQC327684:BQI327684 BGG327684:BGM327684 AWK327684:AWQ327684 AMO327684:AMU327684 ACS327684:ACY327684 SW327684:TC327684 JA327684:JG327684 SRE983044:SRK983044 WVM262148:WVS262148 WLQ262148:WLW262148 WBU262148:WCA262148 VRY262148:VSE262148 VIC262148:VII262148 UYG262148:UYM262148 UOK262148:UOQ262148 UEO262148:UEU262148 TUS262148:TUY262148 TKW262148:TLC262148 TBA262148:TBG262148 SRE262148:SRK262148 SHI262148:SHO262148 RXM262148:RXS262148 RNQ262148:RNW262148 RDU262148:REA262148 QTY262148:QUE262148 QKC262148:QKI262148 QAG262148:QAM262148 PQK262148:PQQ262148 PGO262148:PGU262148 OWS262148:OWY262148 OMW262148:ONC262148 ODA262148:ODG262148 NTE262148:NTK262148 NJI262148:NJO262148 MZM262148:MZS262148 MPQ262148:MPW262148 MFU262148:MGA262148 LVY262148:LWE262148 LMC262148:LMI262148 LCG262148:LCM262148 KSK262148:KSQ262148 KIO262148:KIU262148 JYS262148:JYY262148 JOW262148:JPC262148 JFA262148:JFG262148 IVE262148:IVK262148 ILI262148:ILO262148 IBM262148:IBS262148 HRQ262148:HRW262148 HHU262148:HIA262148 GXY262148:GYE262148 GOC262148:GOI262148 GEG262148:GEM262148 FUK262148:FUQ262148 FKO262148:FKU262148 FAS262148:FAY262148 EQW262148:ERC262148 EHA262148:EHG262148 DXE262148:DXK262148 DNI262148:DNO262148 DDM262148:DDS262148 CTQ262148:CTW262148 CJU262148:CKA262148 BZY262148:CAE262148 BQC262148:BQI262148 BGG262148:BGM262148 AWK262148:AWQ262148 AMO262148:AMU262148 ACS262148:ACY262148 SW262148:TC262148 JA262148:JG262148 SHI983044:SHO983044 WVM196612:WVS196612 WLQ196612:WLW196612 WBU196612:WCA196612 VRY196612:VSE196612 VIC196612:VII196612 UYG196612:UYM196612 UOK196612:UOQ196612 UEO196612:UEU196612 TUS196612:TUY196612 TKW196612:TLC196612 TBA196612:TBG196612 SRE196612:SRK196612 SHI196612:SHO196612 RXM196612:RXS196612 RNQ196612:RNW196612 RDU196612:REA196612 QTY196612:QUE196612 QKC196612:QKI196612 QAG196612:QAM196612 PQK196612:PQQ196612 PGO196612:PGU196612 OWS196612:OWY196612 OMW196612:ONC196612 ODA196612:ODG196612 NTE196612:NTK196612 NJI196612:NJO196612 MZM196612:MZS196612 MPQ196612:MPW196612 MFU196612:MGA196612 LVY196612:LWE196612 LMC196612:LMI196612 LCG196612:LCM196612 KSK196612:KSQ196612 KIO196612:KIU196612 JYS196612:JYY196612 JOW196612:JPC196612 JFA196612:JFG196612 IVE196612:IVK196612 ILI196612:ILO196612 IBM196612:IBS196612 HRQ196612:HRW196612 HHU196612:HIA196612 GXY196612:GYE196612 GOC196612:GOI196612 GEG196612:GEM196612 FUK196612:FUQ196612 FKO196612:FKU196612 FAS196612:FAY196612 EQW196612:ERC196612 EHA196612:EHG196612 DXE196612:DXK196612 DNI196612:DNO196612 DDM196612:DDS196612 CTQ196612:CTW196612 CJU196612:CKA196612 BZY196612:CAE196612 BQC196612:BQI196612 BGG196612:BGM196612 AWK196612:AWQ196612 AMO196612:AMU196612 ACS196612:ACY196612 SW196612:TC196612 JA196612:JG196612 RXM983044:RXS983044 WVM131076:WVS131076 WLQ131076:WLW131076 WBU131076:WCA131076 VRY131076:VSE131076 VIC131076:VII131076 UYG131076:UYM131076 UOK131076:UOQ131076 UEO131076:UEU131076 TUS131076:TUY131076 TKW131076:TLC131076 TBA131076:TBG131076 SRE131076:SRK131076 SHI131076:SHO131076 RXM131076:RXS131076 RNQ131076:RNW131076 RDU131076:REA131076 QTY131076:QUE131076 QKC131076:QKI131076 QAG131076:QAM131076 PQK131076:PQQ131076 PGO131076:PGU131076 OWS131076:OWY131076 OMW131076:ONC131076 ODA131076:ODG131076 NTE131076:NTK131076 NJI131076:NJO131076 MZM131076:MZS131076 MPQ131076:MPW131076 MFU131076:MGA131076 LVY131076:LWE131076 LMC131076:LMI131076 LCG131076:LCM131076 KSK131076:KSQ131076 KIO131076:KIU131076 JYS131076:JYY131076 JOW131076:JPC131076 JFA131076:JFG131076 IVE131076:IVK131076 ILI131076:ILO131076 IBM131076:IBS131076 HRQ131076:HRW131076 HHU131076:HIA131076 GXY131076:GYE131076 GOC131076:GOI131076 GEG131076:GEM131076 FUK131076:FUQ131076 FKO131076:FKU131076 FAS131076:FAY131076 EQW131076:ERC131076 EHA131076:EHG131076 DXE131076:DXK131076 DNI131076:DNO131076 DDM131076:DDS131076 CTQ131076:CTW131076 CJU131076:CKA131076 BZY131076:CAE131076 BQC131076:BQI131076 BGG131076:BGM131076 AWK131076:AWQ131076 AMO131076:AMU131076 ACS131076:ACY131076 SW131076:TC131076 JA131076:JG131076 RNQ983044:RNW983044 WVM65540:WVS65540 WLQ65540:WLW65540 WBU65540:WCA65540 VRY65540:VSE65540 VIC65540:VII65540 UYG65540:UYM65540 UOK65540:UOQ65540 UEO65540:UEU65540 TUS65540:TUY65540 TKW65540:TLC65540 TBA65540:TBG65540 SRE65540:SRK65540 SHI65540:SHO65540 RXM65540:RXS65540 RNQ65540:RNW65540 RDU65540:REA65540 QTY65540:QUE65540 QKC65540:QKI65540 QAG65540:QAM65540 PQK65540:PQQ65540 PGO65540:PGU65540 OWS65540:OWY65540 OMW65540:ONC65540 ODA65540:ODG65540 NTE65540:NTK65540 NJI65540:NJO65540 MZM65540:MZS65540 MPQ65540:MPW65540 MFU65540:MGA65540 LVY65540:LWE65540 LMC65540:LMI65540 LCG65540:LCM65540 KSK65540:KSQ65540 KIO65540:KIU65540 JYS65540:JYY65540 JOW65540:JPC65540 JFA65540:JFG65540 IVE65540:IVK65540 ILI65540:ILO65540 IBM65540:IBS65540 HRQ65540:HRW65540 HHU65540:HIA65540 GXY65540:GYE65540 GOC65540:GOI65540 GEG65540:GEM65540 FUK65540:FUQ65540 FKO65540:FKU65540 FAS65540:FAY65540 EQW65540:ERC65540 EHA65540:EHG65540 DXE65540:DXK65540 DNI65540:DNO65540 DDM65540:DDS65540 CTQ65540:CTW65540 CJU65540:CKA65540 BZY65540:CAE65540 BQC65540:BQI65540 BGG65540:BGM65540 AWK65540:AWQ65540 AMO65540:AMU65540 ACS65540:ACY65540 SW65540:TC65540 JA65540:JG65540 RDU983044:REA983044 WVM4:WVS4 WLQ4:WLW4 WBU4:WCA4 VRY4:VSE4 VIC4:VII4 UYG4:UYM4 UOK4:UOQ4 UEO4:UEU4 TUS4:TUY4 TKW4:TLC4 TBA4:TBG4 SRE4:SRK4 SHI4:SHO4 RXM4:RXS4 RNQ4:RNW4 RDU4:REA4 QTY4:QUE4 QKC4:QKI4 QAG4:QAM4 PQK4:PQQ4 PGO4:PGU4 OWS4:OWY4 OMW4:ONC4 ODA4:ODG4 NTE4:NTK4 NJI4:NJO4 MZM4:MZS4 MPQ4:MPW4 MFU4:MGA4 LVY4:LWE4 LMC4:LMI4 LCG4:LCM4 KSK4:KSQ4 KIO4:KIU4 JYS4:JYY4 JOW4:JPC4 JFA4:JFG4 IVE4:IVK4 ILI4:ILO4 IBM4:IBS4 HRQ4:HRW4 HHU4:HIA4 GXY4:GYE4 GOC4:GOI4 GEG4:GEM4 FUK4:FUQ4 FKO4:FKU4 FAS4:FAY4 EQW4:ERC4 EHA4:EHG4 DXE4:DXK4 DNI4:DNO4 DDM4:DDS4 CTQ4:CTW4 CJU4:CKA4 BZY4:CAE4 BQC4:BQI4 BGG4:BGM4 AWK4:AWQ4 AMO4:AMU4 ACS4:ACY4 SW4:TC4 JA4:JG4">
      <formula1>$N$7:$N$43</formula1>
    </dataValidation>
    <dataValidation type="list" allowBlank="1" showInputMessage="1" showErrorMessage="1" sqref="E65539:K65539 E983043:K983043 E917507:K917507 E851971:K851971 E786435:K786435 E720899:K720899 E655363:K655363 E589827:K589827 E524291:K524291 E458755:K458755 E393219:K393219 E327683:K327683 E262147:K262147 E196611:K196611 E131075:K131075">
      <formula1>$L$6:$L$42</formula1>
    </dataValidation>
    <dataValidation type="list" allowBlank="1" showInputMessage="1" showErrorMessage="1" sqref="E4:K4">
      <formula1>$L$5:$L$42</formula1>
    </dataValidation>
  </dataValidations>
  <pageMargins left="0.6692913385826772" right="0.70866141732283472" top="0.98425196850393704" bottom="0.59055118110236227" header="0.51181102362204722" footer="0.35433070866141736"/>
  <pageSetup paperSize="9" orientation="portrait" r:id="rId1"/>
  <headerFooter alignWithMargins="0">
    <oddHeader>&amp;L&amp;F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P169"/>
  <sheetViews>
    <sheetView zoomScale="120" zoomScaleNormal="120" workbookViewId="0">
      <selection activeCell="J10" sqref="J10"/>
    </sheetView>
  </sheetViews>
  <sheetFormatPr defaultRowHeight="12.75" x14ac:dyDescent="0.2"/>
  <cols>
    <col min="1" max="1" width="3.7109375" style="680" customWidth="1"/>
    <col min="2" max="2" width="2.42578125" style="680" customWidth="1"/>
    <col min="3" max="3" width="2.85546875" style="680" customWidth="1"/>
    <col min="4" max="4" width="2.85546875" style="680" hidden="1" customWidth="1"/>
    <col min="5" max="13" width="7.7109375" style="680" customWidth="1"/>
    <col min="14" max="14" width="6.5703125" style="680" customWidth="1"/>
    <col min="15" max="15" width="10.85546875" style="680" customWidth="1"/>
    <col min="16" max="18" width="9.140625" style="680" customWidth="1"/>
    <col min="19" max="245" width="9.140625" style="680"/>
    <col min="246" max="246" width="3.7109375" style="680" customWidth="1"/>
    <col min="247" max="247" width="2.42578125" style="680" customWidth="1"/>
    <col min="248" max="248" width="2.85546875" style="680" customWidth="1"/>
    <col min="249" max="257" width="7.7109375" style="680" customWidth="1"/>
    <col min="258" max="258" width="6.5703125" style="680" customWidth="1"/>
    <col min="259" max="259" width="10.85546875" style="680" customWidth="1"/>
    <col min="260" max="260" width="0" style="680" hidden="1" customWidth="1"/>
    <col min="261" max="501" width="9.140625" style="680"/>
    <col min="502" max="502" width="3.7109375" style="680" customWidth="1"/>
    <col min="503" max="503" width="2.42578125" style="680" customWidth="1"/>
    <col min="504" max="504" width="2.85546875" style="680" customWidth="1"/>
    <col min="505" max="513" width="7.7109375" style="680" customWidth="1"/>
    <col min="514" max="514" width="6.5703125" style="680" customWidth="1"/>
    <col min="515" max="515" width="10.85546875" style="680" customWidth="1"/>
    <col min="516" max="516" width="0" style="680" hidden="1" customWidth="1"/>
    <col min="517" max="757" width="9.140625" style="680"/>
    <col min="758" max="758" width="3.7109375" style="680" customWidth="1"/>
    <col min="759" max="759" width="2.42578125" style="680" customWidth="1"/>
    <col min="760" max="760" width="2.85546875" style="680" customWidth="1"/>
    <col min="761" max="769" width="7.7109375" style="680" customWidth="1"/>
    <col min="770" max="770" width="6.5703125" style="680" customWidth="1"/>
    <col min="771" max="771" width="10.85546875" style="680" customWidth="1"/>
    <col min="772" max="772" width="0" style="680" hidden="1" customWidth="1"/>
    <col min="773" max="1013" width="9.140625" style="680"/>
    <col min="1014" max="1014" width="3.7109375" style="680" customWidth="1"/>
    <col min="1015" max="1015" width="2.42578125" style="680" customWidth="1"/>
    <col min="1016" max="1016" width="2.85546875" style="680" customWidth="1"/>
    <col min="1017" max="1025" width="7.7109375" style="680" customWidth="1"/>
    <col min="1026" max="1026" width="6.5703125" style="680" customWidth="1"/>
    <col min="1027" max="1027" width="10.85546875" style="680" customWidth="1"/>
    <col min="1028" max="1028" width="0" style="680" hidden="1" customWidth="1"/>
    <col min="1029" max="1269" width="9.140625" style="680"/>
    <col min="1270" max="1270" width="3.7109375" style="680" customWidth="1"/>
    <col min="1271" max="1271" width="2.42578125" style="680" customWidth="1"/>
    <col min="1272" max="1272" width="2.85546875" style="680" customWidth="1"/>
    <col min="1273" max="1281" width="7.7109375" style="680" customWidth="1"/>
    <col min="1282" max="1282" width="6.5703125" style="680" customWidth="1"/>
    <col min="1283" max="1283" width="10.85546875" style="680" customWidth="1"/>
    <col min="1284" max="1284" width="0" style="680" hidden="1" customWidth="1"/>
    <col min="1285" max="1525" width="9.140625" style="680"/>
    <col min="1526" max="1526" width="3.7109375" style="680" customWidth="1"/>
    <col min="1527" max="1527" width="2.42578125" style="680" customWidth="1"/>
    <col min="1528" max="1528" width="2.85546875" style="680" customWidth="1"/>
    <col min="1529" max="1537" width="7.7109375" style="680" customWidth="1"/>
    <col min="1538" max="1538" width="6.5703125" style="680" customWidth="1"/>
    <col min="1539" max="1539" width="10.85546875" style="680" customWidth="1"/>
    <col min="1540" max="1540" width="0" style="680" hidden="1" customWidth="1"/>
    <col min="1541" max="1781" width="9.140625" style="680"/>
    <col min="1782" max="1782" width="3.7109375" style="680" customWidth="1"/>
    <col min="1783" max="1783" width="2.42578125" style="680" customWidth="1"/>
    <col min="1784" max="1784" width="2.85546875" style="680" customWidth="1"/>
    <col min="1785" max="1793" width="7.7109375" style="680" customWidth="1"/>
    <col min="1794" max="1794" width="6.5703125" style="680" customWidth="1"/>
    <col min="1795" max="1795" width="10.85546875" style="680" customWidth="1"/>
    <col min="1796" max="1796" width="0" style="680" hidden="1" customWidth="1"/>
    <col min="1797" max="2037" width="9.140625" style="680"/>
    <col min="2038" max="2038" width="3.7109375" style="680" customWidth="1"/>
    <col min="2039" max="2039" width="2.42578125" style="680" customWidth="1"/>
    <col min="2040" max="2040" width="2.85546875" style="680" customWidth="1"/>
    <col min="2041" max="2049" width="7.7109375" style="680" customWidth="1"/>
    <col min="2050" max="2050" width="6.5703125" style="680" customWidth="1"/>
    <col min="2051" max="2051" width="10.85546875" style="680" customWidth="1"/>
    <col min="2052" max="2052" width="0" style="680" hidden="1" customWidth="1"/>
    <col min="2053" max="2293" width="9.140625" style="680"/>
    <col min="2294" max="2294" width="3.7109375" style="680" customWidth="1"/>
    <col min="2295" max="2295" width="2.42578125" style="680" customWidth="1"/>
    <col min="2296" max="2296" width="2.85546875" style="680" customWidth="1"/>
    <col min="2297" max="2305" width="7.7109375" style="680" customWidth="1"/>
    <col min="2306" max="2306" width="6.5703125" style="680" customWidth="1"/>
    <col min="2307" max="2307" width="10.85546875" style="680" customWidth="1"/>
    <col min="2308" max="2308" width="0" style="680" hidden="1" customWidth="1"/>
    <col min="2309" max="2549" width="9.140625" style="680"/>
    <col min="2550" max="2550" width="3.7109375" style="680" customWidth="1"/>
    <col min="2551" max="2551" width="2.42578125" style="680" customWidth="1"/>
    <col min="2552" max="2552" width="2.85546875" style="680" customWidth="1"/>
    <col min="2553" max="2561" width="7.7109375" style="680" customWidth="1"/>
    <col min="2562" max="2562" width="6.5703125" style="680" customWidth="1"/>
    <col min="2563" max="2563" width="10.85546875" style="680" customWidth="1"/>
    <col min="2564" max="2564" width="0" style="680" hidden="1" customWidth="1"/>
    <col min="2565" max="2805" width="9.140625" style="680"/>
    <col min="2806" max="2806" width="3.7109375" style="680" customWidth="1"/>
    <col min="2807" max="2807" width="2.42578125" style="680" customWidth="1"/>
    <col min="2808" max="2808" width="2.85546875" style="680" customWidth="1"/>
    <col min="2809" max="2817" width="7.7109375" style="680" customWidth="1"/>
    <col min="2818" max="2818" width="6.5703125" style="680" customWidth="1"/>
    <col min="2819" max="2819" width="10.85546875" style="680" customWidth="1"/>
    <col min="2820" max="2820" width="0" style="680" hidden="1" customWidth="1"/>
    <col min="2821" max="3061" width="9.140625" style="680"/>
    <col min="3062" max="3062" width="3.7109375" style="680" customWidth="1"/>
    <col min="3063" max="3063" width="2.42578125" style="680" customWidth="1"/>
    <col min="3064" max="3064" width="2.85546875" style="680" customWidth="1"/>
    <col min="3065" max="3073" width="7.7109375" style="680" customWidth="1"/>
    <col min="3074" max="3074" width="6.5703125" style="680" customWidth="1"/>
    <col min="3075" max="3075" width="10.85546875" style="680" customWidth="1"/>
    <col min="3076" max="3076" width="0" style="680" hidden="1" customWidth="1"/>
    <col min="3077" max="3317" width="9.140625" style="680"/>
    <col min="3318" max="3318" width="3.7109375" style="680" customWidth="1"/>
    <col min="3319" max="3319" width="2.42578125" style="680" customWidth="1"/>
    <col min="3320" max="3320" width="2.85546875" style="680" customWidth="1"/>
    <col min="3321" max="3329" width="7.7109375" style="680" customWidth="1"/>
    <col min="3330" max="3330" width="6.5703125" style="680" customWidth="1"/>
    <col min="3331" max="3331" width="10.85546875" style="680" customWidth="1"/>
    <col min="3332" max="3332" width="0" style="680" hidden="1" customWidth="1"/>
    <col min="3333" max="3573" width="9.140625" style="680"/>
    <col min="3574" max="3574" width="3.7109375" style="680" customWidth="1"/>
    <col min="3575" max="3575" width="2.42578125" style="680" customWidth="1"/>
    <col min="3576" max="3576" width="2.85546875" style="680" customWidth="1"/>
    <col min="3577" max="3585" width="7.7109375" style="680" customWidth="1"/>
    <col min="3586" max="3586" width="6.5703125" style="680" customWidth="1"/>
    <col min="3587" max="3587" width="10.85546875" style="680" customWidth="1"/>
    <col min="3588" max="3588" width="0" style="680" hidden="1" customWidth="1"/>
    <col min="3589" max="3829" width="9.140625" style="680"/>
    <col min="3830" max="3830" width="3.7109375" style="680" customWidth="1"/>
    <col min="3831" max="3831" width="2.42578125" style="680" customWidth="1"/>
    <col min="3832" max="3832" width="2.85546875" style="680" customWidth="1"/>
    <col min="3833" max="3841" width="7.7109375" style="680" customWidth="1"/>
    <col min="3842" max="3842" width="6.5703125" style="680" customWidth="1"/>
    <col min="3843" max="3843" width="10.85546875" style="680" customWidth="1"/>
    <col min="3844" max="3844" width="0" style="680" hidden="1" customWidth="1"/>
    <col min="3845" max="4085" width="9.140625" style="680"/>
    <col min="4086" max="4086" width="3.7109375" style="680" customWidth="1"/>
    <col min="4087" max="4087" width="2.42578125" style="680" customWidth="1"/>
    <col min="4088" max="4088" width="2.85546875" style="680" customWidth="1"/>
    <col min="4089" max="4097" width="7.7109375" style="680" customWidth="1"/>
    <col min="4098" max="4098" width="6.5703125" style="680" customWidth="1"/>
    <col min="4099" max="4099" width="10.85546875" style="680" customWidth="1"/>
    <col min="4100" max="4100" width="0" style="680" hidden="1" customWidth="1"/>
    <col min="4101" max="4341" width="9.140625" style="680"/>
    <col min="4342" max="4342" width="3.7109375" style="680" customWidth="1"/>
    <col min="4343" max="4343" width="2.42578125" style="680" customWidth="1"/>
    <col min="4344" max="4344" width="2.85546875" style="680" customWidth="1"/>
    <col min="4345" max="4353" width="7.7109375" style="680" customWidth="1"/>
    <col min="4354" max="4354" width="6.5703125" style="680" customWidth="1"/>
    <col min="4355" max="4355" width="10.85546875" style="680" customWidth="1"/>
    <col min="4356" max="4356" width="0" style="680" hidden="1" customWidth="1"/>
    <col min="4357" max="4597" width="9.140625" style="680"/>
    <col min="4598" max="4598" width="3.7109375" style="680" customWidth="1"/>
    <col min="4599" max="4599" width="2.42578125" style="680" customWidth="1"/>
    <col min="4600" max="4600" width="2.85546875" style="680" customWidth="1"/>
    <col min="4601" max="4609" width="7.7109375" style="680" customWidth="1"/>
    <col min="4610" max="4610" width="6.5703125" style="680" customWidth="1"/>
    <col min="4611" max="4611" width="10.85546875" style="680" customWidth="1"/>
    <col min="4612" max="4612" width="0" style="680" hidden="1" customWidth="1"/>
    <col min="4613" max="4853" width="9.140625" style="680"/>
    <col min="4854" max="4854" width="3.7109375" style="680" customWidth="1"/>
    <col min="4855" max="4855" width="2.42578125" style="680" customWidth="1"/>
    <col min="4856" max="4856" width="2.85546875" style="680" customWidth="1"/>
    <col min="4857" max="4865" width="7.7109375" style="680" customWidth="1"/>
    <col min="4866" max="4866" width="6.5703125" style="680" customWidth="1"/>
    <col min="4867" max="4867" width="10.85546875" style="680" customWidth="1"/>
    <col min="4868" max="4868" width="0" style="680" hidden="1" customWidth="1"/>
    <col min="4869" max="5109" width="9.140625" style="680"/>
    <col min="5110" max="5110" width="3.7109375" style="680" customWidth="1"/>
    <col min="5111" max="5111" width="2.42578125" style="680" customWidth="1"/>
    <col min="5112" max="5112" width="2.85546875" style="680" customWidth="1"/>
    <col min="5113" max="5121" width="7.7109375" style="680" customWidth="1"/>
    <col min="5122" max="5122" width="6.5703125" style="680" customWidth="1"/>
    <col min="5123" max="5123" width="10.85546875" style="680" customWidth="1"/>
    <col min="5124" max="5124" width="0" style="680" hidden="1" customWidth="1"/>
    <col min="5125" max="5365" width="9.140625" style="680"/>
    <col min="5366" max="5366" width="3.7109375" style="680" customWidth="1"/>
    <col min="5367" max="5367" width="2.42578125" style="680" customWidth="1"/>
    <col min="5368" max="5368" width="2.85546875" style="680" customWidth="1"/>
    <col min="5369" max="5377" width="7.7109375" style="680" customWidth="1"/>
    <col min="5378" max="5378" width="6.5703125" style="680" customWidth="1"/>
    <col min="5379" max="5379" width="10.85546875" style="680" customWidth="1"/>
    <col min="5380" max="5380" width="0" style="680" hidden="1" customWidth="1"/>
    <col min="5381" max="5621" width="9.140625" style="680"/>
    <col min="5622" max="5622" width="3.7109375" style="680" customWidth="1"/>
    <col min="5623" max="5623" width="2.42578125" style="680" customWidth="1"/>
    <col min="5624" max="5624" width="2.85546875" style="680" customWidth="1"/>
    <col min="5625" max="5633" width="7.7109375" style="680" customWidth="1"/>
    <col min="5634" max="5634" width="6.5703125" style="680" customWidth="1"/>
    <col min="5635" max="5635" width="10.85546875" style="680" customWidth="1"/>
    <col min="5636" max="5636" width="0" style="680" hidden="1" customWidth="1"/>
    <col min="5637" max="5877" width="9.140625" style="680"/>
    <col min="5878" max="5878" width="3.7109375" style="680" customWidth="1"/>
    <col min="5879" max="5879" width="2.42578125" style="680" customWidth="1"/>
    <col min="5880" max="5880" width="2.85546875" style="680" customWidth="1"/>
    <col min="5881" max="5889" width="7.7109375" style="680" customWidth="1"/>
    <col min="5890" max="5890" width="6.5703125" style="680" customWidth="1"/>
    <col min="5891" max="5891" width="10.85546875" style="680" customWidth="1"/>
    <col min="5892" max="5892" width="0" style="680" hidden="1" customWidth="1"/>
    <col min="5893" max="6133" width="9.140625" style="680"/>
    <col min="6134" max="6134" width="3.7109375" style="680" customWidth="1"/>
    <col min="6135" max="6135" width="2.42578125" style="680" customWidth="1"/>
    <col min="6136" max="6136" width="2.85546875" style="680" customWidth="1"/>
    <col min="6137" max="6145" width="7.7109375" style="680" customWidth="1"/>
    <col min="6146" max="6146" width="6.5703125" style="680" customWidth="1"/>
    <col min="6147" max="6147" width="10.85546875" style="680" customWidth="1"/>
    <col min="6148" max="6148" width="0" style="680" hidden="1" customWidth="1"/>
    <col min="6149" max="6389" width="9.140625" style="680"/>
    <col min="6390" max="6390" width="3.7109375" style="680" customWidth="1"/>
    <col min="6391" max="6391" width="2.42578125" style="680" customWidth="1"/>
    <col min="6392" max="6392" width="2.85546875" style="680" customWidth="1"/>
    <col min="6393" max="6401" width="7.7109375" style="680" customWidth="1"/>
    <col min="6402" max="6402" width="6.5703125" style="680" customWidth="1"/>
    <col min="6403" max="6403" width="10.85546875" style="680" customWidth="1"/>
    <col min="6404" max="6404" width="0" style="680" hidden="1" customWidth="1"/>
    <col min="6405" max="6645" width="9.140625" style="680"/>
    <col min="6646" max="6646" width="3.7109375" style="680" customWidth="1"/>
    <col min="6647" max="6647" width="2.42578125" style="680" customWidth="1"/>
    <col min="6648" max="6648" width="2.85546875" style="680" customWidth="1"/>
    <col min="6649" max="6657" width="7.7109375" style="680" customWidth="1"/>
    <col min="6658" max="6658" width="6.5703125" style="680" customWidth="1"/>
    <col min="6659" max="6659" width="10.85546875" style="680" customWidth="1"/>
    <col min="6660" max="6660" width="0" style="680" hidden="1" customWidth="1"/>
    <col min="6661" max="6901" width="9.140625" style="680"/>
    <col min="6902" max="6902" width="3.7109375" style="680" customWidth="1"/>
    <col min="6903" max="6903" width="2.42578125" style="680" customWidth="1"/>
    <col min="6904" max="6904" width="2.85546875" style="680" customWidth="1"/>
    <col min="6905" max="6913" width="7.7109375" style="680" customWidth="1"/>
    <col min="6914" max="6914" width="6.5703125" style="680" customWidth="1"/>
    <col min="6915" max="6915" width="10.85546875" style="680" customWidth="1"/>
    <col min="6916" max="6916" width="0" style="680" hidden="1" customWidth="1"/>
    <col min="6917" max="7157" width="9.140625" style="680"/>
    <col min="7158" max="7158" width="3.7109375" style="680" customWidth="1"/>
    <col min="7159" max="7159" width="2.42578125" style="680" customWidth="1"/>
    <col min="7160" max="7160" width="2.85546875" style="680" customWidth="1"/>
    <col min="7161" max="7169" width="7.7109375" style="680" customWidth="1"/>
    <col min="7170" max="7170" width="6.5703125" style="680" customWidth="1"/>
    <col min="7171" max="7171" width="10.85546875" style="680" customWidth="1"/>
    <col min="7172" max="7172" width="0" style="680" hidden="1" customWidth="1"/>
    <col min="7173" max="7413" width="9.140625" style="680"/>
    <col min="7414" max="7414" width="3.7109375" style="680" customWidth="1"/>
    <col min="7415" max="7415" width="2.42578125" style="680" customWidth="1"/>
    <col min="7416" max="7416" width="2.85546875" style="680" customWidth="1"/>
    <col min="7417" max="7425" width="7.7109375" style="680" customWidth="1"/>
    <col min="7426" max="7426" width="6.5703125" style="680" customWidth="1"/>
    <col min="7427" max="7427" width="10.85546875" style="680" customWidth="1"/>
    <col min="7428" max="7428" width="0" style="680" hidden="1" customWidth="1"/>
    <col min="7429" max="7669" width="9.140625" style="680"/>
    <col min="7670" max="7670" width="3.7109375" style="680" customWidth="1"/>
    <col min="7671" max="7671" width="2.42578125" style="680" customWidth="1"/>
    <col min="7672" max="7672" width="2.85546875" style="680" customWidth="1"/>
    <col min="7673" max="7681" width="7.7109375" style="680" customWidth="1"/>
    <col min="7682" max="7682" width="6.5703125" style="680" customWidth="1"/>
    <col min="7683" max="7683" width="10.85546875" style="680" customWidth="1"/>
    <col min="7684" max="7684" width="0" style="680" hidden="1" customWidth="1"/>
    <col min="7685" max="7925" width="9.140625" style="680"/>
    <col min="7926" max="7926" width="3.7109375" style="680" customWidth="1"/>
    <col min="7927" max="7927" width="2.42578125" style="680" customWidth="1"/>
    <col min="7928" max="7928" width="2.85546875" style="680" customWidth="1"/>
    <col min="7929" max="7937" width="7.7109375" style="680" customWidth="1"/>
    <col min="7938" max="7938" width="6.5703125" style="680" customWidth="1"/>
    <col min="7939" max="7939" width="10.85546875" style="680" customWidth="1"/>
    <col min="7940" max="7940" width="0" style="680" hidden="1" customWidth="1"/>
    <col min="7941" max="8181" width="9.140625" style="680"/>
    <col min="8182" max="8182" width="3.7109375" style="680" customWidth="1"/>
    <col min="8183" max="8183" width="2.42578125" style="680" customWidth="1"/>
    <col min="8184" max="8184" width="2.85546875" style="680" customWidth="1"/>
    <col min="8185" max="8193" width="7.7109375" style="680" customWidth="1"/>
    <col min="8194" max="8194" width="6.5703125" style="680" customWidth="1"/>
    <col min="8195" max="8195" width="10.85546875" style="680" customWidth="1"/>
    <col min="8196" max="8196" width="0" style="680" hidden="1" customWidth="1"/>
    <col min="8197" max="8437" width="9.140625" style="680"/>
    <col min="8438" max="8438" width="3.7109375" style="680" customWidth="1"/>
    <col min="8439" max="8439" width="2.42578125" style="680" customWidth="1"/>
    <col min="8440" max="8440" width="2.85546875" style="680" customWidth="1"/>
    <col min="8441" max="8449" width="7.7109375" style="680" customWidth="1"/>
    <col min="8450" max="8450" width="6.5703125" style="680" customWidth="1"/>
    <col min="8451" max="8451" width="10.85546875" style="680" customWidth="1"/>
    <col min="8452" max="8452" width="0" style="680" hidden="1" customWidth="1"/>
    <col min="8453" max="8693" width="9.140625" style="680"/>
    <col min="8694" max="8694" width="3.7109375" style="680" customWidth="1"/>
    <col min="8695" max="8695" width="2.42578125" style="680" customWidth="1"/>
    <col min="8696" max="8696" width="2.85546875" style="680" customWidth="1"/>
    <col min="8697" max="8705" width="7.7109375" style="680" customWidth="1"/>
    <col min="8706" max="8706" width="6.5703125" style="680" customWidth="1"/>
    <col min="8707" max="8707" width="10.85546875" style="680" customWidth="1"/>
    <col min="8708" max="8708" width="0" style="680" hidden="1" customWidth="1"/>
    <col min="8709" max="8949" width="9.140625" style="680"/>
    <col min="8950" max="8950" width="3.7109375" style="680" customWidth="1"/>
    <col min="8951" max="8951" width="2.42578125" style="680" customWidth="1"/>
    <col min="8952" max="8952" width="2.85546875" style="680" customWidth="1"/>
    <col min="8953" max="8961" width="7.7109375" style="680" customWidth="1"/>
    <col min="8962" max="8962" width="6.5703125" style="680" customWidth="1"/>
    <col min="8963" max="8963" width="10.85546875" style="680" customWidth="1"/>
    <col min="8964" max="8964" width="0" style="680" hidden="1" customWidth="1"/>
    <col min="8965" max="9205" width="9.140625" style="680"/>
    <col min="9206" max="9206" width="3.7109375" style="680" customWidth="1"/>
    <col min="9207" max="9207" width="2.42578125" style="680" customWidth="1"/>
    <col min="9208" max="9208" width="2.85546875" style="680" customWidth="1"/>
    <col min="9209" max="9217" width="7.7109375" style="680" customWidth="1"/>
    <col min="9218" max="9218" width="6.5703125" style="680" customWidth="1"/>
    <col min="9219" max="9219" width="10.85546875" style="680" customWidth="1"/>
    <col min="9220" max="9220" width="0" style="680" hidden="1" customWidth="1"/>
    <col min="9221" max="9461" width="9.140625" style="680"/>
    <col min="9462" max="9462" width="3.7109375" style="680" customWidth="1"/>
    <col min="9463" max="9463" width="2.42578125" style="680" customWidth="1"/>
    <col min="9464" max="9464" width="2.85546875" style="680" customWidth="1"/>
    <col min="9465" max="9473" width="7.7109375" style="680" customWidth="1"/>
    <col min="9474" max="9474" width="6.5703125" style="680" customWidth="1"/>
    <col min="9475" max="9475" width="10.85546875" style="680" customWidth="1"/>
    <col min="9476" max="9476" width="0" style="680" hidden="1" customWidth="1"/>
    <col min="9477" max="9717" width="9.140625" style="680"/>
    <col min="9718" max="9718" width="3.7109375" style="680" customWidth="1"/>
    <col min="9719" max="9719" width="2.42578125" style="680" customWidth="1"/>
    <col min="9720" max="9720" width="2.85546875" style="680" customWidth="1"/>
    <col min="9721" max="9729" width="7.7109375" style="680" customWidth="1"/>
    <col min="9730" max="9730" width="6.5703125" style="680" customWidth="1"/>
    <col min="9731" max="9731" width="10.85546875" style="680" customWidth="1"/>
    <col min="9732" max="9732" width="0" style="680" hidden="1" customWidth="1"/>
    <col min="9733" max="9973" width="9.140625" style="680"/>
    <col min="9974" max="9974" width="3.7109375" style="680" customWidth="1"/>
    <col min="9975" max="9975" width="2.42578125" style="680" customWidth="1"/>
    <col min="9976" max="9976" width="2.85546875" style="680" customWidth="1"/>
    <col min="9977" max="9985" width="7.7109375" style="680" customWidth="1"/>
    <col min="9986" max="9986" width="6.5703125" style="680" customWidth="1"/>
    <col min="9987" max="9987" width="10.85546875" style="680" customWidth="1"/>
    <col min="9988" max="9988" width="0" style="680" hidden="1" customWidth="1"/>
    <col min="9989" max="10229" width="9.140625" style="680"/>
    <col min="10230" max="10230" width="3.7109375" style="680" customWidth="1"/>
    <col min="10231" max="10231" width="2.42578125" style="680" customWidth="1"/>
    <col min="10232" max="10232" width="2.85546875" style="680" customWidth="1"/>
    <col min="10233" max="10241" width="7.7109375" style="680" customWidth="1"/>
    <col min="10242" max="10242" width="6.5703125" style="680" customWidth="1"/>
    <col min="10243" max="10243" width="10.85546875" style="680" customWidth="1"/>
    <col min="10244" max="10244" width="0" style="680" hidden="1" customWidth="1"/>
    <col min="10245" max="10485" width="9.140625" style="680"/>
    <col min="10486" max="10486" width="3.7109375" style="680" customWidth="1"/>
    <col min="10487" max="10487" width="2.42578125" style="680" customWidth="1"/>
    <col min="10488" max="10488" width="2.85546875" style="680" customWidth="1"/>
    <col min="10489" max="10497" width="7.7109375" style="680" customWidth="1"/>
    <col min="10498" max="10498" width="6.5703125" style="680" customWidth="1"/>
    <col min="10499" max="10499" width="10.85546875" style="680" customWidth="1"/>
    <col min="10500" max="10500" width="0" style="680" hidden="1" customWidth="1"/>
    <col min="10501" max="10741" width="9.140625" style="680"/>
    <col min="10742" max="10742" width="3.7109375" style="680" customWidth="1"/>
    <col min="10743" max="10743" width="2.42578125" style="680" customWidth="1"/>
    <col min="10744" max="10744" width="2.85546875" style="680" customWidth="1"/>
    <col min="10745" max="10753" width="7.7109375" style="680" customWidth="1"/>
    <col min="10754" max="10754" width="6.5703125" style="680" customWidth="1"/>
    <col min="10755" max="10755" width="10.85546875" style="680" customWidth="1"/>
    <col min="10756" max="10756" width="0" style="680" hidden="1" customWidth="1"/>
    <col min="10757" max="10997" width="9.140625" style="680"/>
    <col min="10998" max="10998" width="3.7109375" style="680" customWidth="1"/>
    <col min="10999" max="10999" width="2.42578125" style="680" customWidth="1"/>
    <col min="11000" max="11000" width="2.85546875" style="680" customWidth="1"/>
    <col min="11001" max="11009" width="7.7109375" style="680" customWidth="1"/>
    <col min="11010" max="11010" width="6.5703125" style="680" customWidth="1"/>
    <col min="11011" max="11011" width="10.85546875" style="680" customWidth="1"/>
    <col min="11012" max="11012" width="0" style="680" hidden="1" customWidth="1"/>
    <col min="11013" max="11253" width="9.140625" style="680"/>
    <col min="11254" max="11254" width="3.7109375" style="680" customWidth="1"/>
    <col min="11255" max="11255" width="2.42578125" style="680" customWidth="1"/>
    <col min="11256" max="11256" width="2.85546875" style="680" customWidth="1"/>
    <col min="11257" max="11265" width="7.7109375" style="680" customWidth="1"/>
    <col min="11266" max="11266" width="6.5703125" style="680" customWidth="1"/>
    <col min="11267" max="11267" width="10.85546875" style="680" customWidth="1"/>
    <col min="11268" max="11268" width="0" style="680" hidden="1" customWidth="1"/>
    <col min="11269" max="11509" width="9.140625" style="680"/>
    <col min="11510" max="11510" width="3.7109375" style="680" customWidth="1"/>
    <col min="11511" max="11511" width="2.42578125" style="680" customWidth="1"/>
    <col min="11512" max="11512" width="2.85546875" style="680" customWidth="1"/>
    <col min="11513" max="11521" width="7.7109375" style="680" customWidth="1"/>
    <col min="11522" max="11522" width="6.5703125" style="680" customWidth="1"/>
    <col min="11523" max="11523" width="10.85546875" style="680" customWidth="1"/>
    <col min="11524" max="11524" width="0" style="680" hidden="1" customWidth="1"/>
    <col min="11525" max="11765" width="9.140625" style="680"/>
    <col min="11766" max="11766" width="3.7109375" style="680" customWidth="1"/>
    <col min="11767" max="11767" width="2.42578125" style="680" customWidth="1"/>
    <col min="11768" max="11768" width="2.85546875" style="680" customWidth="1"/>
    <col min="11769" max="11777" width="7.7109375" style="680" customWidth="1"/>
    <col min="11778" max="11778" width="6.5703125" style="680" customWidth="1"/>
    <col min="11779" max="11779" width="10.85546875" style="680" customWidth="1"/>
    <col min="11780" max="11780" width="0" style="680" hidden="1" customWidth="1"/>
    <col min="11781" max="12021" width="9.140625" style="680"/>
    <col min="12022" max="12022" width="3.7109375" style="680" customWidth="1"/>
    <col min="12023" max="12023" width="2.42578125" style="680" customWidth="1"/>
    <col min="12024" max="12024" width="2.85546875" style="680" customWidth="1"/>
    <col min="12025" max="12033" width="7.7109375" style="680" customWidth="1"/>
    <col min="12034" max="12034" width="6.5703125" style="680" customWidth="1"/>
    <col min="12035" max="12035" width="10.85546875" style="680" customWidth="1"/>
    <col min="12036" max="12036" width="0" style="680" hidden="1" customWidth="1"/>
    <col min="12037" max="12277" width="9.140625" style="680"/>
    <col min="12278" max="12278" width="3.7109375" style="680" customWidth="1"/>
    <col min="12279" max="12279" width="2.42578125" style="680" customWidth="1"/>
    <col min="12280" max="12280" width="2.85546875" style="680" customWidth="1"/>
    <col min="12281" max="12289" width="7.7109375" style="680" customWidth="1"/>
    <col min="12290" max="12290" width="6.5703125" style="680" customWidth="1"/>
    <col min="12291" max="12291" width="10.85546875" style="680" customWidth="1"/>
    <col min="12292" max="12292" width="0" style="680" hidden="1" customWidth="1"/>
    <col min="12293" max="12533" width="9.140625" style="680"/>
    <col min="12534" max="12534" width="3.7109375" style="680" customWidth="1"/>
    <col min="12535" max="12535" width="2.42578125" style="680" customWidth="1"/>
    <col min="12536" max="12536" width="2.85546875" style="680" customWidth="1"/>
    <col min="12537" max="12545" width="7.7109375" style="680" customWidth="1"/>
    <col min="12546" max="12546" width="6.5703125" style="680" customWidth="1"/>
    <col min="12547" max="12547" width="10.85546875" style="680" customWidth="1"/>
    <col min="12548" max="12548" width="0" style="680" hidden="1" customWidth="1"/>
    <col min="12549" max="12789" width="9.140625" style="680"/>
    <col min="12790" max="12790" width="3.7109375" style="680" customWidth="1"/>
    <col min="12791" max="12791" width="2.42578125" style="680" customWidth="1"/>
    <col min="12792" max="12792" width="2.85546875" style="680" customWidth="1"/>
    <col min="12793" max="12801" width="7.7109375" style="680" customWidth="1"/>
    <col min="12802" max="12802" width="6.5703125" style="680" customWidth="1"/>
    <col min="12803" max="12803" width="10.85546875" style="680" customWidth="1"/>
    <col min="12804" max="12804" width="0" style="680" hidden="1" customWidth="1"/>
    <col min="12805" max="13045" width="9.140625" style="680"/>
    <col min="13046" max="13046" width="3.7109375" style="680" customWidth="1"/>
    <col min="13047" max="13047" width="2.42578125" style="680" customWidth="1"/>
    <col min="13048" max="13048" width="2.85546875" style="680" customWidth="1"/>
    <col min="13049" max="13057" width="7.7109375" style="680" customWidth="1"/>
    <col min="13058" max="13058" width="6.5703125" style="680" customWidth="1"/>
    <col min="13059" max="13059" width="10.85546875" style="680" customWidth="1"/>
    <col min="13060" max="13060" width="0" style="680" hidden="1" customWidth="1"/>
    <col min="13061" max="13301" width="9.140625" style="680"/>
    <col min="13302" max="13302" width="3.7109375" style="680" customWidth="1"/>
    <col min="13303" max="13303" width="2.42578125" style="680" customWidth="1"/>
    <col min="13304" max="13304" width="2.85546875" style="680" customWidth="1"/>
    <col min="13305" max="13313" width="7.7109375" style="680" customWidth="1"/>
    <col min="13314" max="13314" width="6.5703125" style="680" customWidth="1"/>
    <col min="13315" max="13315" width="10.85546875" style="680" customWidth="1"/>
    <col min="13316" max="13316" width="0" style="680" hidden="1" customWidth="1"/>
    <col min="13317" max="13557" width="9.140625" style="680"/>
    <col min="13558" max="13558" width="3.7109375" style="680" customWidth="1"/>
    <col min="13559" max="13559" width="2.42578125" style="680" customWidth="1"/>
    <col min="13560" max="13560" width="2.85546875" style="680" customWidth="1"/>
    <col min="13561" max="13569" width="7.7109375" style="680" customWidth="1"/>
    <col min="13570" max="13570" width="6.5703125" style="680" customWidth="1"/>
    <col min="13571" max="13571" width="10.85546875" style="680" customWidth="1"/>
    <col min="13572" max="13572" width="0" style="680" hidden="1" customWidth="1"/>
    <col min="13573" max="13813" width="9.140625" style="680"/>
    <col min="13814" max="13814" width="3.7109375" style="680" customWidth="1"/>
    <col min="13815" max="13815" width="2.42578125" style="680" customWidth="1"/>
    <col min="13816" max="13816" width="2.85546875" style="680" customWidth="1"/>
    <col min="13817" max="13825" width="7.7109375" style="680" customWidth="1"/>
    <col min="13826" max="13826" width="6.5703125" style="680" customWidth="1"/>
    <col min="13827" max="13827" width="10.85546875" style="680" customWidth="1"/>
    <col min="13828" max="13828" width="0" style="680" hidden="1" customWidth="1"/>
    <col min="13829" max="14069" width="9.140625" style="680"/>
    <col min="14070" max="14070" width="3.7109375" style="680" customWidth="1"/>
    <col min="14071" max="14071" width="2.42578125" style="680" customWidth="1"/>
    <col min="14072" max="14072" width="2.85546875" style="680" customWidth="1"/>
    <col min="14073" max="14081" width="7.7109375" style="680" customWidth="1"/>
    <col min="14082" max="14082" width="6.5703125" style="680" customWidth="1"/>
    <col min="14083" max="14083" width="10.85546875" style="680" customWidth="1"/>
    <col min="14084" max="14084" width="0" style="680" hidden="1" customWidth="1"/>
    <col min="14085" max="14325" width="9.140625" style="680"/>
    <col min="14326" max="14326" width="3.7109375" style="680" customWidth="1"/>
    <col min="14327" max="14327" width="2.42578125" style="680" customWidth="1"/>
    <col min="14328" max="14328" width="2.85546875" style="680" customWidth="1"/>
    <col min="14329" max="14337" width="7.7109375" style="680" customWidth="1"/>
    <col min="14338" max="14338" width="6.5703125" style="680" customWidth="1"/>
    <col min="14339" max="14339" width="10.85546875" style="680" customWidth="1"/>
    <col min="14340" max="14340" width="0" style="680" hidden="1" customWidth="1"/>
    <col min="14341" max="14581" width="9.140625" style="680"/>
    <col min="14582" max="14582" width="3.7109375" style="680" customWidth="1"/>
    <col min="14583" max="14583" width="2.42578125" style="680" customWidth="1"/>
    <col min="14584" max="14584" width="2.85546875" style="680" customWidth="1"/>
    <col min="14585" max="14593" width="7.7109375" style="680" customWidth="1"/>
    <col min="14594" max="14594" width="6.5703125" style="680" customWidth="1"/>
    <col min="14595" max="14595" width="10.85546875" style="680" customWidth="1"/>
    <col min="14596" max="14596" width="0" style="680" hidden="1" customWidth="1"/>
    <col min="14597" max="14837" width="9.140625" style="680"/>
    <col min="14838" max="14838" width="3.7109375" style="680" customWidth="1"/>
    <col min="14839" max="14839" width="2.42578125" style="680" customWidth="1"/>
    <col min="14840" max="14840" width="2.85546875" style="680" customWidth="1"/>
    <col min="14841" max="14849" width="7.7109375" style="680" customWidth="1"/>
    <col min="14850" max="14850" width="6.5703125" style="680" customWidth="1"/>
    <col min="14851" max="14851" width="10.85546875" style="680" customWidth="1"/>
    <col min="14852" max="14852" width="0" style="680" hidden="1" customWidth="1"/>
    <col min="14853" max="15093" width="9.140625" style="680"/>
    <col min="15094" max="15094" width="3.7109375" style="680" customWidth="1"/>
    <col min="15095" max="15095" width="2.42578125" style="680" customWidth="1"/>
    <col min="15096" max="15096" width="2.85546875" style="680" customWidth="1"/>
    <col min="15097" max="15105" width="7.7109375" style="680" customWidth="1"/>
    <col min="15106" max="15106" width="6.5703125" style="680" customWidth="1"/>
    <col min="15107" max="15107" width="10.85546875" style="680" customWidth="1"/>
    <col min="15108" max="15108" width="0" style="680" hidden="1" customWidth="1"/>
    <col min="15109" max="15349" width="9.140625" style="680"/>
    <col min="15350" max="15350" width="3.7109375" style="680" customWidth="1"/>
    <col min="15351" max="15351" width="2.42578125" style="680" customWidth="1"/>
    <col min="15352" max="15352" width="2.85546875" style="680" customWidth="1"/>
    <col min="15353" max="15361" width="7.7109375" style="680" customWidth="1"/>
    <col min="15362" max="15362" width="6.5703125" style="680" customWidth="1"/>
    <col min="15363" max="15363" width="10.85546875" style="680" customWidth="1"/>
    <col min="15364" max="15364" width="0" style="680" hidden="1" customWidth="1"/>
    <col min="15365" max="15605" width="9.140625" style="680"/>
    <col min="15606" max="15606" width="3.7109375" style="680" customWidth="1"/>
    <col min="15607" max="15607" width="2.42578125" style="680" customWidth="1"/>
    <col min="15608" max="15608" width="2.85546875" style="680" customWidth="1"/>
    <col min="15609" max="15617" width="7.7109375" style="680" customWidth="1"/>
    <col min="15618" max="15618" width="6.5703125" style="680" customWidth="1"/>
    <col min="15619" max="15619" width="10.85546875" style="680" customWidth="1"/>
    <col min="15620" max="15620" width="0" style="680" hidden="1" customWidth="1"/>
    <col min="15621" max="15861" width="9.140625" style="680"/>
    <col min="15862" max="15862" width="3.7109375" style="680" customWidth="1"/>
    <col min="15863" max="15863" width="2.42578125" style="680" customWidth="1"/>
    <col min="15864" max="15864" width="2.85546875" style="680" customWidth="1"/>
    <col min="15865" max="15873" width="7.7109375" style="680" customWidth="1"/>
    <col min="15874" max="15874" width="6.5703125" style="680" customWidth="1"/>
    <col min="15875" max="15875" width="10.85546875" style="680" customWidth="1"/>
    <col min="15876" max="15876" width="0" style="680" hidden="1" customWidth="1"/>
    <col min="15877" max="16117" width="9.140625" style="680"/>
    <col min="16118" max="16118" width="3.7109375" style="680" customWidth="1"/>
    <col min="16119" max="16119" width="2.42578125" style="680" customWidth="1"/>
    <col min="16120" max="16120" width="2.85546875" style="680" customWidth="1"/>
    <col min="16121" max="16129" width="7.7109375" style="680" customWidth="1"/>
    <col min="16130" max="16130" width="6.5703125" style="680" customWidth="1"/>
    <col min="16131" max="16131" width="10.85546875" style="680" customWidth="1"/>
    <col min="16132" max="16132" width="0" style="680" hidden="1" customWidth="1"/>
    <col min="16133" max="16384" width="9.140625" style="680"/>
  </cols>
  <sheetData>
    <row r="1" spans="1:16" ht="9.75" customHeight="1" x14ac:dyDescent="0.2">
      <c r="A1" s="1047" t="s">
        <v>152</v>
      </c>
      <c r="B1" s="1048"/>
      <c r="C1" s="1048"/>
      <c r="D1" s="1048"/>
      <c r="E1" s="1049"/>
      <c r="F1" s="1047" t="s">
        <v>154</v>
      </c>
      <c r="G1" s="1049"/>
      <c r="H1" s="673" t="s">
        <v>155</v>
      </c>
      <c r="I1" s="674"/>
      <c r="J1" s="675" t="s">
        <v>153</v>
      </c>
      <c r="K1" s="676" t="s">
        <v>46</v>
      </c>
      <c r="L1" s="677"/>
      <c r="M1" s="678" t="s">
        <v>169</v>
      </c>
      <c r="N1" s="678" t="s">
        <v>156</v>
      </c>
      <c r="O1" s="677"/>
      <c r="P1" s="679" t="str">
        <f>IF(ISBLANK(K2),"",K2)</f>
        <v/>
      </c>
    </row>
    <row r="2" spans="1:16" s="685" customFormat="1" ht="21" customHeight="1" x14ac:dyDescent="0.25">
      <c r="A2" s="1039" t="str">
        <f>Fältkort!H91</f>
        <v>HUG066</v>
      </c>
      <c r="B2" s="1040"/>
      <c r="C2" s="1040"/>
      <c r="D2" s="1040"/>
      <c r="E2" s="1050"/>
      <c r="F2" s="681" t="str">
        <f>Fältkort!H86</f>
        <v>HU-1433</v>
      </c>
      <c r="G2" s="682"/>
      <c r="H2" s="681" t="str">
        <f>Fältkort!H94</f>
        <v>M-658-2014</v>
      </c>
      <c r="I2" s="682"/>
      <c r="J2" s="683">
        <f>PM!AF6</f>
        <v>2014</v>
      </c>
      <c r="K2" s="1037"/>
      <c r="L2" s="1038"/>
      <c r="M2" s="684"/>
      <c r="N2" s="1035"/>
      <c r="O2" s="1036"/>
      <c r="P2" s="679" t="str">
        <f>IF(ISBLANK(M2),"",M2)</f>
        <v/>
      </c>
    </row>
    <row r="3" spans="1:16" ht="12.75" customHeight="1" x14ac:dyDescent="0.2">
      <c r="A3" s="1041"/>
      <c r="B3" s="1042"/>
      <c r="C3" s="1043"/>
      <c r="D3" s="686"/>
      <c r="E3" s="687" t="s">
        <v>1205</v>
      </c>
      <c r="F3" s="687"/>
      <c r="G3" s="687"/>
      <c r="H3" s="687"/>
      <c r="I3" s="687"/>
      <c r="J3" s="687"/>
      <c r="K3" s="687"/>
      <c r="L3" s="687"/>
      <c r="M3" s="687"/>
      <c r="N3" s="688"/>
      <c r="O3" s="689"/>
      <c r="P3" s="679" t="str">
        <f>IF(ISBLANK(N2),"",N2)</f>
        <v/>
      </c>
    </row>
    <row r="4" spans="1:16" ht="19.5" customHeight="1" x14ac:dyDescent="0.2">
      <c r="A4" s="1044"/>
      <c r="B4" s="1045"/>
      <c r="C4" s="1046"/>
      <c r="D4" s="690"/>
      <c r="E4" s="691"/>
      <c r="F4" s="691"/>
      <c r="G4" s="691"/>
      <c r="H4" s="691"/>
      <c r="I4" s="691"/>
      <c r="J4" s="691"/>
      <c r="K4" s="691"/>
      <c r="L4" s="691"/>
      <c r="M4" s="691"/>
      <c r="N4" s="1051" t="str">
        <f>PM!H89</f>
        <v>G1:</v>
      </c>
      <c r="O4" s="1052"/>
    </row>
    <row r="5" spans="1:16" ht="12.75" customHeight="1" x14ac:dyDescent="0.2">
      <c r="A5" s="692" t="s">
        <v>810</v>
      </c>
      <c r="B5" s="693"/>
      <c r="C5" s="694"/>
      <c r="D5" s="694"/>
      <c r="E5" s="695" t="s">
        <v>1212</v>
      </c>
      <c r="F5" s="695" t="s">
        <v>1212</v>
      </c>
      <c r="G5" s="695" t="s">
        <v>1212</v>
      </c>
      <c r="H5" s="695" t="s">
        <v>1212</v>
      </c>
      <c r="I5" s="695" t="s">
        <v>1212</v>
      </c>
      <c r="J5" s="695" t="s">
        <v>1212</v>
      </c>
      <c r="K5" s="695" t="s">
        <v>1212</v>
      </c>
      <c r="L5" s="695" t="s">
        <v>1212</v>
      </c>
      <c r="M5" s="695" t="s">
        <v>1212</v>
      </c>
      <c r="N5" s="1053"/>
      <c r="O5" s="1054"/>
    </row>
    <row r="6" spans="1:16" ht="24" x14ac:dyDescent="0.2">
      <c r="A6" s="696" t="s">
        <v>149</v>
      </c>
      <c r="B6" s="696" t="s">
        <v>158</v>
      </c>
      <c r="C6" s="697" t="s">
        <v>157</v>
      </c>
      <c r="D6" s="697"/>
      <c r="E6" s="698"/>
      <c r="F6" s="698"/>
      <c r="G6" s="698"/>
      <c r="H6" s="698"/>
      <c r="I6" s="698"/>
      <c r="J6" s="698"/>
      <c r="K6" s="698"/>
      <c r="L6" s="698"/>
      <c r="M6" s="698"/>
      <c r="N6" s="699" t="str">
        <f>IF(ISBLANK(PM!J89),"",PM!J89)</f>
        <v>T3</v>
      </c>
      <c r="O6" s="728" t="str">
        <f>IF(ISBLANK(PM!K89),"",PM!K89)</f>
        <v>+14-21 dagar</v>
      </c>
    </row>
    <row r="7" spans="1:16" s="707" customFormat="1" ht="19.5" customHeight="1" x14ac:dyDescent="0.2">
      <c r="A7" s="701">
        <f>Led!D2</f>
        <v>1</v>
      </c>
      <c r="B7" s="702">
        <f>Led!E2</f>
        <v>1</v>
      </c>
      <c r="C7" s="703" t="str">
        <f>IF(ISNUMBER(A7),(IF(Led!F2=Led!$Q$94,Led!F2,IF(ISBLANK($C$5),"",Led!F2))),"")</f>
        <v/>
      </c>
      <c r="D7" s="703" t="str">
        <f>Led!CS2</f>
        <v>1-07</v>
      </c>
      <c r="E7" s="704"/>
      <c r="F7" s="704"/>
      <c r="G7" s="704"/>
      <c r="H7" s="704"/>
      <c r="I7" s="704"/>
      <c r="J7" s="704"/>
      <c r="K7" s="704"/>
      <c r="L7" s="704"/>
      <c r="M7" s="704"/>
      <c r="N7" s="705" t="s">
        <v>710</v>
      </c>
      <c r="O7" s="706" t="s">
        <v>711</v>
      </c>
    </row>
    <row r="8" spans="1:16" s="707" customFormat="1" ht="19.5" customHeight="1" x14ac:dyDescent="0.2">
      <c r="A8" s="701">
        <f>Led!D3</f>
        <v>2</v>
      </c>
      <c r="B8" s="702">
        <f>Led!E3</f>
        <v>1</v>
      </c>
      <c r="C8" s="703" t="str">
        <f>IF(ISNUMBER(A8),(IF(Led!F3=Led!$Q$94,Led!F3,IF(ISBLANK($C$5),"",Led!F3))),"")</f>
        <v/>
      </c>
      <c r="D8" s="703" t="str">
        <f>Led!CS3</f>
        <v>1-04</v>
      </c>
      <c r="E8" s="704"/>
      <c r="F8" s="704"/>
      <c r="G8" s="704"/>
      <c r="H8" s="704"/>
      <c r="I8" s="704"/>
      <c r="J8" s="704"/>
      <c r="K8" s="704"/>
      <c r="L8" s="704"/>
      <c r="M8" s="704"/>
      <c r="N8" s="705" t="s">
        <v>681</v>
      </c>
      <c r="O8" s="706" t="s">
        <v>1184</v>
      </c>
    </row>
    <row r="9" spans="1:16" s="707" customFormat="1" ht="19.5" customHeight="1" x14ac:dyDescent="0.2">
      <c r="A9" s="701">
        <f>Led!D4</f>
        <v>3</v>
      </c>
      <c r="B9" s="702">
        <f>Led!E4</f>
        <v>1</v>
      </c>
      <c r="C9" s="703" t="str">
        <f>IF(ISNUMBER(A9),(IF(Led!F4=Led!$Q$94,Led!F4,IF(ISBLANK($C$5),"",Led!F4))),"")</f>
        <v/>
      </c>
      <c r="D9" s="703" t="str">
        <f>Led!CS4</f>
        <v>1-03</v>
      </c>
      <c r="E9" s="704"/>
      <c r="F9" s="704"/>
      <c r="G9" s="704"/>
      <c r="H9" s="708"/>
      <c r="I9" s="704"/>
      <c r="J9" s="704"/>
      <c r="K9" s="704"/>
      <c r="L9" s="704"/>
      <c r="M9" s="704"/>
      <c r="N9" s="705" t="s">
        <v>677</v>
      </c>
      <c r="O9" s="706" t="s">
        <v>1183</v>
      </c>
    </row>
    <row r="10" spans="1:16" s="707" customFormat="1" ht="19.5" customHeight="1" x14ac:dyDescent="0.2">
      <c r="A10" s="701">
        <f>Led!D5</f>
        <v>4</v>
      </c>
      <c r="B10" s="702">
        <f>Led!E5</f>
        <v>1</v>
      </c>
      <c r="C10" s="703">
        <f>IF(ISNUMBER(A10),(IF(Led!F5=Led!$Q$94,Led!F5,IF(ISBLANK($C$5),"",Led!F5))),"")</f>
        <v>1</v>
      </c>
      <c r="D10" s="703" t="str">
        <f>Led!CS5</f>
        <v>1-01</v>
      </c>
      <c r="E10" s="704"/>
      <c r="F10" s="704"/>
      <c r="G10" s="704"/>
      <c r="H10" s="704"/>
      <c r="I10" s="704"/>
      <c r="J10" s="704"/>
      <c r="K10" s="704"/>
      <c r="L10" s="704"/>
      <c r="M10" s="704"/>
      <c r="N10" s="705" t="s">
        <v>669</v>
      </c>
      <c r="O10" s="706" t="s">
        <v>1182</v>
      </c>
    </row>
    <row r="11" spans="1:16" s="707" customFormat="1" ht="19.5" customHeight="1" x14ac:dyDescent="0.2">
      <c r="A11" s="701">
        <f>Led!D6</f>
        <v>5</v>
      </c>
      <c r="B11" s="702">
        <f>Led!E6</f>
        <v>1</v>
      </c>
      <c r="C11" s="703" t="str">
        <f>IF(ISNUMBER(A11),(IF(Led!F6=Led!$Q$94,Led!F6,IF(ISBLANK($C$5),"",Led!F6))),"")</f>
        <v/>
      </c>
      <c r="D11" s="703" t="str">
        <f>Led!CS6</f>
        <v>1-03</v>
      </c>
      <c r="E11" s="704"/>
      <c r="F11" s="704"/>
      <c r="G11" s="704"/>
      <c r="H11" s="704"/>
      <c r="I11" s="704"/>
      <c r="J11" s="704"/>
      <c r="K11" s="704"/>
      <c r="L11" s="704"/>
      <c r="M11" s="704"/>
      <c r="N11" s="705" t="s">
        <v>1187</v>
      </c>
      <c r="O11" s="706" t="s">
        <v>1188</v>
      </c>
    </row>
    <row r="12" spans="1:16" s="707" customFormat="1" ht="19.5" customHeight="1" x14ac:dyDescent="0.2">
      <c r="A12" s="701">
        <f>Led!D7</f>
        <v>6</v>
      </c>
      <c r="B12" s="702">
        <f>Led!E7</f>
        <v>1</v>
      </c>
      <c r="C12" s="703" t="str">
        <f>IF(ISNUMBER(A12),(IF(Led!F7=Led!$Q$94,Led!F7,IF(ISBLANK($C$5),"",Led!F7))),"")</f>
        <v/>
      </c>
      <c r="D12" s="703" t="str">
        <f>Led!CS7</f>
        <v>1-05</v>
      </c>
      <c r="E12" s="704"/>
      <c r="F12" s="704"/>
      <c r="G12" s="704"/>
      <c r="H12" s="704"/>
      <c r="I12" s="704"/>
      <c r="J12" s="704"/>
      <c r="K12" s="704"/>
      <c r="L12" s="704"/>
      <c r="M12" s="704"/>
      <c r="N12" s="705" t="s">
        <v>1180</v>
      </c>
      <c r="O12" s="706" t="s">
        <v>1181</v>
      </c>
    </row>
    <row r="13" spans="1:16" s="707" customFormat="1" ht="19.5" customHeight="1" x14ac:dyDescent="0.2">
      <c r="A13" s="701">
        <f>Led!D8</f>
        <v>7</v>
      </c>
      <c r="B13" s="702">
        <f>Led!E8</f>
        <v>1</v>
      </c>
      <c r="C13" s="703" t="str">
        <f>IF(ISNUMBER(A13),(IF(Led!F8=Led!$Q$94,Led!F8,IF(ISBLANK($C$5),"",Led!F8))),"")</f>
        <v/>
      </c>
      <c r="D13" s="703" t="str">
        <f>Led!CS8</f>
        <v>1-02</v>
      </c>
      <c r="E13" s="704"/>
      <c r="F13" s="704"/>
      <c r="G13" s="704"/>
      <c r="H13" s="704"/>
      <c r="I13" s="704"/>
      <c r="J13" s="704"/>
      <c r="K13" s="704"/>
      <c r="L13" s="704"/>
      <c r="M13" s="704"/>
      <c r="N13" s="705" t="s">
        <v>663</v>
      </c>
      <c r="O13" s="706" t="s">
        <v>1179</v>
      </c>
    </row>
    <row r="14" spans="1:16" s="707" customFormat="1" ht="19.5" customHeight="1" x14ac:dyDescent="0.2">
      <c r="A14" s="701">
        <f>Led!D9</f>
        <v>8</v>
      </c>
      <c r="B14" s="702">
        <f>Led!E9</f>
        <v>2</v>
      </c>
      <c r="C14" s="703" t="str">
        <f>IF(ISNUMBER(A14),(IF(Led!F9=Led!$Q$94,Led!F9,IF(ISBLANK($C$5),"",Led!F9))),"")</f>
        <v/>
      </c>
      <c r="D14" s="703" t="str">
        <f>Led!CS9</f>
        <v>2-03</v>
      </c>
      <c r="E14" s="704"/>
      <c r="F14" s="704"/>
      <c r="G14" s="704"/>
      <c r="H14" s="704"/>
      <c r="I14" s="704"/>
      <c r="J14" s="704"/>
      <c r="K14" s="704"/>
      <c r="L14" s="704"/>
      <c r="M14" s="704"/>
      <c r="N14" s="705" t="s">
        <v>700</v>
      </c>
      <c r="O14" s="706" t="s">
        <v>701</v>
      </c>
    </row>
    <row r="15" spans="1:16" s="707" customFormat="1" ht="19.5" customHeight="1" x14ac:dyDescent="0.2">
      <c r="A15" s="701">
        <f>Led!D10</f>
        <v>9</v>
      </c>
      <c r="B15" s="702">
        <f>Led!E10</f>
        <v>2</v>
      </c>
      <c r="C15" s="703" t="str">
        <f>IF(ISNUMBER(A15),(IF(Led!F10=Led!$Q$94,Led!F10,IF(ISBLANK($C$5),"",Led!F10))),"")</f>
        <v/>
      </c>
      <c r="D15" s="703" t="str">
        <f>Led!CS10</f>
        <v>2-06</v>
      </c>
      <c r="E15" s="704"/>
      <c r="F15" s="704"/>
      <c r="G15" s="704"/>
      <c r="H15" s="704"/>
      <c r="I15" s="704"/>
      <c r="J15" s="704"/>
      <c r="K15" s="704"/>
      <c r="L15" s="704"/>
      <c r="M15" s="704"/>
      <c r="N15" s="705" t="s">
        <v>704</v>
      </c>
      <c r="O15" s="706" t="s">
        <v>705</v>
      </c>
    </row>
    <row r="16" spans="1:16" s="707" customFormat="1" ht="19.5" customHeight="1" x14ac:dyDescent="0.2">
      <c r="A16" s="701">
        <f>Led!D11</f>
        <v>10</v>
      </c>
      <c r="B16" s="702">
        <f>Led!E11</f>
        <v>2</v>
      </c>
      <c r="C16" s="703" t="str">
        <f>IF(ISNUMBER(A16),(IF(Led!F11=Led!$Q$94,Led!F11,IF(ISBLANK($C$5),"",Led!F11))),"")</f>
        <v/>
      </c>
      <c r="D16" s="703" t="str">
        <f>Led!CS11</f>
        <v>2-02</v>
      </c>
      <c r="E16" s="704"/>
      <c r="F16" s="704"/>
      <c r="G16" s="704"/>
      <c r="H16" s="704"/>
      <c r="I16" s="704"/>
      <c r="J16" s="704"/>
      <c r="K16" s="704"/>
      <c r="L16" s="704"/>
      <c r="M16" s="704"/>
      <c r="N16" s="705" t="s">
        <v>702</v>
      </c>
      <c r="O16" s="706" t="s">
        <v>703</v>
      </c>
    </row>
    <row r="17" spans="1:15" s="707" customFormat="1" ht="19.5" customHeight="1" x14ac:dyDescent="0.2">
      <c r="A17" s="701">
        <f>Led!D12</f>
        <v>11</v>
      </c>
      <c r="B17" s="702">
        <f>Led!E12</f>
        <v>2</v>
      </c>
      <c r="C17" s="703" t="str">
        <f>IF(ISNUMBER(A17),(IF(Led!F12=Led!$Q$94,Led!F12,IF(ISBLANK($C$5),"",Led!F12))),"")</f>
        <v/>
      </c>
      <c r="D17" s="703" t="str">
        <f>Led!CS12</f>
        <v>2-07</v>
      </c>
      <c r="E17" s="704"/>
      <c r="F17" s="704"/>
      <c r="G17" s="704"/>
      <c r="H17" s="704"/>
      <c r="I17" s="704"/>
      <c r="J17" s="704"/>
      <c r="K17" s="704"/>
      <c r="L17" s="704"/>
      <c r="M17" s="704"/>
      <c r="N17" s="705" t="s">
        <v>712</v>
      </c>
      <c r="O17" s="706" t="s">
        <v>713</v>
      </c>
    </row>
    <row r="18" spans="1:15" s="707" customFormat="1" ht="19.5" customHeight="1" x14ac:dyDescent="0.2">
      <c r="A18" s="701">
        <f>Led!D13</f>
        <v>12</v>
      </c>
      <c r="B18" s="702">
        <f>Led!E13</f>
        <v>2</v>
      </c>
      <c r="C18" s="703" t="str">
        <f>IF(ISNUMBER(A18),(IF(Led!F13=Led!$Q$94,Led!F13,IF(ISBLANK($C$5),"",Led!F13))),"")</f>
        <v/>
      </c>
      <c r="D18" s="703" t="str">
        <f>Led!CS13</f>
        <v>2-04</v>
      </c>
      <c r="E18" s="704"/>
      <c r="F18" s="704"/>
      <c r="G18" s="704"/>
      <c r="H18" s="704"/>
      <c r="I18" s="704"/>
      <c r="J18" s="704"/>
      <c r="K18" s="704"/>
      <c r="L18" s="704"/>
      <c r="M18" s="704"/>
      <c r="N18" s="705" t="s">
        <v>714</v>
      </c>
      <c r="O18" s="706" t="s">
        <v>715</v>
      </c>
    </row>
    <row r="19" spans="1:15" s="707" customFormat="1" ht="19.5" customHeight="1" x14ac:dyDescent="0.2">
      <c r="A19" s="701">
        <f>Led!D14</f>
        <v>13</v>
      </c>
      <c r="B19" s="702">
        <f>Led!E14</f>
        <v>2</v>
      </c>
      <c r="C19" s="703">
        <f>IF(ISNUMBER(A19),(IF(Led!F14=Led!$Q$94,Led!F14,IF(ISBLANK($C$5),"",Led!F14))),"")</f>
        <v>1</v>
      </c>
      <c r="D19" s="703" t="str">
        <f>Led!CS14</f>
        <v>2-01</v>
      </c>
      <c r="E19" s="704"/>
      <c r="F19" s="704"/>
      <c r="G19" s="704"/>
      <c r="H19" s="704"/>
      <c r="I19" s="704"/>
      <c r="J19" s="704"/>
      <c r="K19" s="704"/>
      <c r="L19" s="704"/>
      <c r="M19" s="704"/>
      <c r="N19" s="709" t="s">
        <v>665</v>
      </c>
      <c r="O19" s="710" t="s">
        <v>666</v>
      </c>
    </row>
    <row r="20" spans="1:15" s="707" customFormat="1" ht="19.5" customHeight="1" x14ac:dyDescent="0.2">
      <c r="A20" s="701">
        <f>Led!D15</f>
        <v>14</v>
      </c>
      <c r="B20" s="702">
        <f>Led!E15</f>
        <v>2</v>
      </c>
      <c r="C20" s="703" t="str">
        <f>IF(ISNUMBER(A20),(IF(Led!F15=Led!$Q$94,Led!F15,IF(ISBLANK($C$5),"",Led!F15))),"")</f>
        <v/>
      </c>
      <c r="D20" s="703" t="str">
        <f>Led!CS15</f>
        <v>2-05</v>
      </c>
      <c r="E20" s="704"/>
      <c r="F20" s="704"/>
      <c r="G20" s="704"/>
      <c r="H20" s="704"/>
      <c r="I20" s="704"/>
      <c r="J20" s="704"/>
      <c r="K20" s="704"/>
      <c r="L20" s="704"/>
      <c r="M20" s="704"/>
      <c r="N20" s="705" t="s">
        <v>696</v>
      </c>
      <c r="O20" s="706" t="s">
        <v>697</v>
      </c>
    </row>
    <row r="21" spans="1:15" s="707" customFormat="1" ht="19.5" customHeight="1" x14ac:dyDescent="0.2">
      <c r="A21" s="701">
        <f>Led!D16</f>
        <v>15</v>
      </c>
      <c r="B21" s="702">
        <f>Led!E16</f>
        <v>3</v>
      </c>
      <c r="C21" s="703">
        <f>IF(ISNUMBER(A21),(IF(Led!F16=Led!$Q$94,Led!F16,IF(ISBLANK($C$5),"",Led!F16))),"")</f>
        <v>1</v>
      </c>
      <c r="D21" s="703" t="str">
        <f>Led!CS16</f>
        <v>3-01</v>
      </c>
      <c r="E21" s="704"/>
      <c r="F21" s="704"/>
      <c r="G21" s="704"/>
      <c r="H21" s="704"/>
      <c r="I21" s="704"/>
      <c r="J21" s="704"/>
      <c r="K21" s="704"/>
      <c r="L21" s="704"/>
      <c r="M21" s="704"/>
      <c r="N21" s="705" t="s">
        <v>706</v>
      </c>
      <c r="O21" s="706" t="s">
        <v>707</v>
      </c>
    </row>
    <row r="22" spans="1:15" s="707" customFormat="1" ht="19.5" customHeight="1" x14ac:dyDescent="0.2">
      <c r="A22" s="701">
        <f>Led!D17</f>
        <v>16</v>
      </c>
      <c r="B22" s="702">
        <f>Led!E17</f>
        <v>3</v>
      </c>
      <c r="C22" s="703" t="str">
        <f>IF(ISNUMBER(A22),(IF(Led!F17=Led!$Q$94,Led!F17,IF(ISBLANK($C$5),"",Led!F17))),"")</f>
        <v/>
      </c>
      <c r="D22" s="703" t="str">
        <f>Led!CS17</f>
        <v>3-02</v>
      </c>
      <c r="E22" s="704"/>
      <c r="F22" s="704"/>
      <c r="G22" s="704"/>
      <c r="H22" s="704"/>
      <c r="I22" s="704"/>
      <c r="J22" s="704"/>
      <c r="K22" s="704"/>
      <c r="L22" s="704"/>
      <c r="M22" s="704"/>
      <c r="N22" s="705" t="s">
        <v>1197</v>
      </c>
      <c r="O22" s="706" t="s">
        <v>1196</v>
      </c>
    </row>
    <row r="23" spans="1:15" s="707" customFormat="1" ht="19.5" customHeight="1" x14ac:dyDescent="0.2">
      <c r="A23" s="701">
        <f>Led!D18</f>
        <v>17</v>
      </c>
      <c r="B23" s="702">
        <f>Led!E18</f>
        <v>3</v>
      </c>
      <c r="C23" s="703" t="str">
        <f>IF(ISNUMBER(A23),(IF(Led!F18=Led!$Q$94,Led!F18,IF(ISBLANK($C$5),"",Led!F18))),"")</f>
        <v/>
      </c>
      <c r="D23" s="703" t="str">
        <f>Led!CS18</f>
        <v>3-06</v>
      </c>
      <c r="E23" s="704"/>
      <c r="F23" s="704"/>
      <c r="G23" s="704"/>
      <c r="H23" s="704"/>
      <c r="I23" s="704"/>
      <c r="J23" s="704"/>
      <c r="K23" s="704"/>
      <c r="L23" s="704"/>
      <c r="M23" s="704"/>
      <c r="N23" s="705" t="s">
        <v>675</v>
      </c>
      <c r="O23" s="706" t="s">
        <v>676</v>
      </c>
    </row>
    <row r="24" spans="1:15" s="707" customFormat="1" ht="19.5" customHeight="1" x14ac:dyDescent="0.2">
      <c r="A24" s="701">
        <f>Led!D19</f>
        <v>18</v>
      </c>
      <c r="B24" s="702">
        <f>Led!E19</f>
        <v>3</v>
      </c>
      <c r="C24" s="703" t="str">
        <f>IF(ISNUMBER(A24),(IF(Led!F19=Led!$Q$94,Led!F19,IF(ISBLANK($C$5),"",Led!F19))),"")</f>
        <v/>
      </c>
      <c r="D24" s="703" t="str">
        <f>Led!CS19</f>
        <v>3-05</v>
      </c>
      <c r="E24" s="704"/>
      <c r="F24" s="704"/>
      <c r="G24" s="704"/>
      <c r="H24" s="704"/>
      <c r="I24" s="704"/>
      <c r="J24" s="704"/>
      <c r="K24" s="704"/>
      <c r="L24" s="704"/>
      <c r="M24" s="704"/>
      <c r="N24" s="705" t="s">
        <v>1192</v>
      </c>
      <c r="O24" s="706" t="s">
        <v>1191</v>
      </c>
    </row>
    <row r="25" spans="1:15" s="707" customFormat="1" ht="19.5" customHeight="1" x14ac:dyDescent="0.2">
      <c r="A25" s="701">
        <f>Led!D20</f>
        <v>19</v>
      </c>
      <c r="B25" s="702">
        <f>Led!E20</f>
        <v>3</v>
      </c>
      <c r="C25" s="703" t="str">
        <f>IF(ISNUMBER(A25),(IF(Led!F20=Led!$Q$94,Led!F20,IF(ISBLANK($C$5),"",Led!F20))),"")</f>
        <v/>
      </c>
      <c r="D25" s="703" t="str">
        <f>Led!CS20</f>
        <v>3-06</v>
      </c>
      <c r="E25" s="704"/>
      <c r="F25" s="704"/>
      <c r="G25" s="704"/>
      <c r="H25" s="704"/>
      <c r="I25" s="704"/>
      <c r="J25" s="704"/>
      <c r="K25" s="704"/>
      <c r="L25" s="704"/>
      <c r="M25" s="704"/>
      <c r="N25" s="705" t="s">
        <v>679</v>
      </c>
      <c r="O25" s="706" t="s">
        <v>1176</v>
      </c>
    </row>
    <row r="26" spans="1:15" s="707" customFormat="1" ht="19.5" customHeight="1" x14ac:dyDescent="0.2">
      <c r="A26" s="701">
        <f>Led!D21</f>
        <v>20</v>
      </c>
      <c r="B26" s="702">
        <f>Led!E21</f>
        <v>3</v>
      </c>
      <c r="C26" s="703" t="str">
        <f>IF(ISNUMBER(A26),(IF(Led!F21=Led!$Q$94,Led!F21,IF(ISBLANK($C$5),"",Led!F21))),"")</f>
        <v/>
      </c>
      <c r="D26" s="703" t="str">
        <f>Led!CS21</f>
        <v>3-07</v>
      </c>
      <c r="E26" s="704"/>
      <c r="F26" s="704"/>
      <c r="G26" s="704"/>
      <c r="H26" s="704"/>
      <c r="I26" s="704"/>
      <c r="J26" s="704"/>
      <c r="K26" s="704"/>
      <c r="L26" s="704"/>
      <c r="M26" s="704"/>
      <c r="N26" s="705" t="s">
        <v>1194</v>
      </c>
      <c r="O26" s="706" t="s">
        <v>1193</v>
      </c>
    </row>
    <row r="27" spans="1:15" s="707" customFormat="1" ht="19.5" customHeight="1" x14ac:dyDescent="0.2">
      <c r="A27" s="701">
        <f>Led!D22</f>
        <v>21</v>
      </c>
      <c r="B27" s="702">
        <f>Led!E22</f>
        <v>3</v>
      </c>
      <c r="C27" s="703" t="str">
        <f>IF(ISNUMBER(A27),(IF(Led!F22=Led!$Q$94,Led!F22,IF(ISBLANK($C$5),"",Led!F22))),"")</f>
        <v/>
      </c>
      <c r="D27" s="703" t="str">
        <f>Led!CS22</f>
        <v>3-04</v>
      </c>
      <c r="E27" s="704"/>
      <c r="F27" s="704"/>
      <c r="G27" s="704"/>
      <c r="H27" s="704"/>
      <c r="I27" s="704"/>
      <c r="J27" s="704"/>
      <c r="K27" s="704"/>
      <c r="L27" s="704"/>
      <c r="M27" s="704"/>
      <c r="N27" s="705" t="s">
        <v>660</v>
      </c>
      <c r="O27" s="706" t="s">
        <v>661</v>
      </c>
    </row>
    <row r="28" spans="1:15" s="707" customFormat="1" ht="19.5" customHeight="1" x14ac:dyDescent="0.2">
      <c r="A28" s="701">
        <f>Led!D23</f>
        <v>22</v>
      </c>
      <c r="B28" s="702">
        <f>Led!E23</f>
        <v>4</v>
      </c>
      <c r="C28" s="703" t="str">
        <f>IF(ISNUMBER(A28),(IF(Led!F23=Led!$Q$94,Led!F23,IF(ISBLANK($C$5),"",Led!F23))),"")</f>
        <v/>
      </c>
      <c r="D28" s="703" t="str">
        <f>Led!CS23</f>
        <v>4-05</v>
      </c>
      <c r="E28" s="704"/>
      <c r="F28" s="704"/>
      <c r="G28" s="704"/>
      <c r="H28" s="704"/>
      <c r="I28" s="704"/>
      <c r="J28" s="704"/>
      <c r="K28" s="704"/>
      <c r="L28" s="704"/>
      <c r="M28" s="704"/>
      <c r="N28" s="705" t="s">
        <v>716</v>
      </c>
      <c r="O28" s="706" t="s">
        <v>717</v>
      </c>
    </row>
    <row r="29" spans="1:15" s="707" customFormat="1" ht="19.5" customHeight="1" x14ac:dyDescent="0.2">
      <c r="A29" s="701">
        <f>Led!D24</f>
        <v>23</v>
      </c>
      <c r="B29" s="702">
        <f>Led!E24</f>
        <v>4</v>
      </c>
      <c r="C29" s="703" t="str">
        <f>IF(ISNUMBER(A29),(IF(Led!F24=Led!$Q$94,Led!F24,IF(ISBLANK($C$5),"",Led!F24))),"")</f>
        <v/>
      </c>
      <c r="D29" s="703" t="str">
        <f>Led!CS24</f>
        <v>4-07</v>
      </c>
      <c r="E29" s="704"/>
      <c r="F29" s="704"/>
      <c r="G29" s="704"/>
      <c r="H29" s="704"/>
      <c r="I29" s="704"/>
      <c r="J29" s="704"/>
      <c r="K29" s="704"/>
      <c r="L29" s="704"/>
      <c r="M29" s="704"/>
      <c r="N29" s="705" t="s">
        <v>1189</v>
      </c>
      <c r="O29" s="706" t="s">
        <v>1190</v>
      </c>
    </row>
    <row r="30" spans="1:15" s="707" customFormat="1" ht="19.5" customHeight="1" x14ac:dyDescent="0.2">
      <c r="A30" s="701">
        <f>Led!D25</f>
        <v>24</v>
      </c>
      <c r="B30" s="702">
        <f>Led!E25</f>
        <v>4</v>
      </c>
      <c r="C30" s="703">
        <f>IF(ISNUMBER(A30),(IF(Led!F25=Led!$Q$94,Led!F25,IF(ISBLANK($C$5),"",Led!F25))),"")</f>
        <v>1</v>
      </c>
      <c r="D30" s="703" t="str">
        <f>Led!CS25</f>
        <v>4-01</v>
      </c>
      <c r="E30" s="704"/>
      <c r="F30" s="704"/>
      <c r="G30" s="704"/>
      <c r="H30" s="704"/>
      <c r="I30" s="704"/>
      <c r="J30" s="704"/>
      <c r="K30" s="704"/>
      <c r="L30" s="704"/>
      <c r="M30" s="704"/>
      <c r="N30" s="705" t="s">
        <v>1185</v>
      </c>
      <c r="O30" s="706" t="s">
        <v>1186</v>
      </c>
    </row>
    <row r="31" spans="1:15" s="707" customFormat="1" ht="19.5" customHeight="1" x14ac:dyDescent="0.2">
      <c r="A31" s="701">
        <f>Led!D26</f>
        <v>25</v>
      </c>
      <c r="B31" s="702">
        <f>Led!E26</f>
        <v>4</v>
      </c>
      <c r="C31" s="703" t="str">
        <f>IF(ISNUMBER(A31),(IF(Led!F26=Led!$Q$94,Led!F26,IF(ISBLANK($C$5),"",Led!F26))),"")</f>
        <v/>
      </c>
      <c r="D31" s="703" t="str">
        <f>Led!CS26</f>
        <v>4-04</v>
      </c>
      <c r="E31" s="704"/>
      <c r="F31" s="704"/>
      <c r="G31" s="704"/>
      <c r="H31" s="704"/>
      <c r="I31" s="704"/>
      <c r="J31" s="704"/>
      <c r="K31" s="704"/>
      <c r="L31" s="704"/>
      <c r="M31" s="704"/>
      <c r="N31" s="705" t="s">
        <v>718</v>
      </c>
      <c r="O31" s="706" t="s">
        <v>719</v>
      </c>
    </row>
    <row r="32" spans="1:15" s="707" customFormat="1" ht="19.5" customHeight="1" x14ac:dyDescent="0.2">
      <c r="A32" s="701">
        <f>Led!D27</f>
        <v>26</v>
      </c>
      <c r="B32" s="702">
        <f>Led!E27</f>
        <v>4</v>
      </c>
      <c r="C32" s="703" t="str">
        <f>IF(ISNUMBER(A32),(IF(Led!F27=Led!$Q$94,Led!F27,IF(ISBLANK($C$5),"",Led!F27))),"")</f>
        <v/>
      </c>
      <c r="D32" s="703" t="str">
        <f>Led!CS27</f>
        <v>4-02</v>
      </c>
      <c r="E32" s="704"/>
      <c r="F32" s="704"/>
      <c r="G32" s="704"/>
      <c r="H32" s="704"/>
      <c r="I32" s="704"/>
      <c r="J32" s="704"/>
      <c r="K32" s="704"/>
      <c r="L32" s="704"/>
      <c r="M32" s="704"/>
      <c r="N32" s="705" t="s">
        <v>726</v>
      </c>
      <c r="O32" s="706" t="s">
        <v>727</v>
      </c>
    </row>
    <row r="33" spans="1:15" s="707" customFormat="1" ht="19.5" customHeight="1" x14ac:dyDescent="0.2">
      <c r="A33" s="701">
        <f>Led!D28</f>
        <v>27</v>
      </c>
      <c r="B33" s="702">
        <f>Led!E28</f>
        <v>4</v>
      </c>
      <c r="C33" s="703" t="str">
        <f>IF(ISNUMBER(A33),(IF(Led!F28=Led!$Q$94,Led!F28,IF(ISBLANK($C$5),"",Led!F28))),"")</f>
        <v/>
      </c>
      <c r="D33" s="703" t="str">
        <f>Led!CS28</f>
        <v>4-06</v>
      </c>
      <c r="E33" s="704"/>
      <c r="F33" s="704"/>
      <c r="G33" s="704"/>
      <c r="H33" s="704"/>
      <c r="I33" s="704"/>
      <c r="J33" s="704"/>
      <c r="K33" s="704"/>
      <c r="L33" s="704"/>
      <c r="M33" s="704"/>
      <c r="N33" s="711" t="s">
        <v>724</v>
      </c>
      <c r="O33" s="706" t="s">
        <v>725</v>
      </c>
    </row>
    <row r="34" spans="1:15" s="707" customFormat="1" ht="19.5" customHeight="1" x14ac:dyDescent="0.2">
      <c r="A34" s="701">
        <f>Led!D29</f>
        <v>28</v>
      </c>
      <c r="B34" s="702">
        <f>Led!E29</f>
        <v>4</v>
      </c>
      <c r="C34" s="703" t="str">
        <f>IF(ISNUMBER(A34),(IF(Led!F29=Led!$Q$94,Led!F29,IF(ISBLANK($C$5),"",Led!F29))),"")</f>
        <v/>
      </c>
      <c r="D34" s="703" t="str">
        <f>Led!CS29</f>
        <v>4-03</v>
      </c>
      <c r="E34" s="704"/>
      <c r="F34" s="704"/>
      <c r="G34" s="704"/>
      <c r="H34" s="704"/>
      <c r="I34" s="704"/>
      <c r="J34" s="704"/>
      <c r="K34" s="704"/>
      <c r="L34" s="704"/>
      <c r="M34" s="704"/>
      <c r="N34" s="711" t="s">
        <v>671</v>
      </c>
      <c r="O34" s="706" t="s">
        <v>672</v>
      </c>
    </row>
    <row r="35" spans="1:15" s="707" customFormat="1" ht="19.5" customHeight="1" x14ac:dyDescent="0.2">
      <c r="A35" s="701" t="str">
        <f>Led!D30</f>
        <v/>
      </c>
      <c r="B35" s="702" t="str">
        <f>Led!E30</f>
        <v/>
      </c>
      <c r="C35" s="703" t="str">
        <f>IF(ISNUMBER(A35),(IF(Led!F30=Led!$Q$94,Led!F30,IF(ISBLANK($C$5),"",Led!F30))),"")</f>
        <v/>
      </c>
      <c r="D35" s="703" t="str">
        <f>Led!CS30</f>
        <v/>
      </c>
      <c r="E35" s="704"/>
      <c r="F35" s="704"/>
      <c r="G35" s="704"/>
      <c r="H35" s="704"/>
      <c r="I35" s="704"/>
      <c r="J35" s="704"/>
      <c r="K35" s="704"/>
      <c r="L35" s="704"/>
      <c r="M35" s="704"/>
      <c r="N35" s="709" t="s">
        <v>708</v>
      </c>
      <c r="O35" s="710" t="s">
        <v>709</v>
      </c>
    </row>
    <row r="36" spans="1:15" s="707" customFormat="1" ht="19.5" customHeight="1" x14ac:dyDescent="0.2">
      <c r="A36" s="701" t="str">
        <f>Led!D31</f>
        <v/>
      </c>
      <c r="B36" s="702" t="str">
        <f>Led!E31</f>
        <v/>
      </c>
      <c r="C36" s="703" t="str">
        <f>IF(ISNUMBER(A36),(IF(Led!F31=Led!$Q$94,Led!F31,IF(ISBLANK($C$5),"",Led!F31))),"")</f>
        <v/>
      </c>
      <c r="D36" s="703" t="str">
        <f>Led!CS31</f>
        <v/>
      </c>
      <c r="E36" s="704"/>
      <c r="F36" s="704"/>
      <c r="G36" s="704"/>
      <c r="H36" s="704"/>
      <c r="I36" s="704"/>
      <c r="J36" s="704"/>
      <c r="K36" s="704"/>
      <c r="L36" s="704"/>
      <c r="M36" s="704"/>
      <c r="N36" s="709" t="s">
        <v>698</v>
      </c>
      <c r="O36" s="710" t="s">
        <v>699</v>
      </c>
    </row>
    <row r="37" spans="1:15" s="707" customFormat="1" ht="19.5" customHeight="1" x14ac:dyDescent="0.2">
      <c r="A37" s="701" t="str">
        <f>Led!D32</f>
        <v/>
      </c>
      <c r="B37" s="702" t="str">
        <f>Led!E32</f>
        <v/>
      </c>
      <c r="C37" s="703" t="str">
        <f>IF(ISNUMBER(A37),(IF(Led!F32=Led!$Q$94,Led!F32,IF(ISBLANK($C$5),"",Led!F32))),"")</f>
        <v/>
      </c>
      <c r="D37" s="703" t="str">
        <f>Led!CS32</f>
        <v/>
      </c>
      <c r="E37" s="704"/>
      <c r="F37" s="704"/>
      <c r="G37" s="704"/>
      <c r="H37" s="704"/>
      <c r="I37" s="704"/>
      <c r="J37" s="704"/>
      <c r="K37" s="704"/>
      <c r="L37" s="704"/>
      <c r="M37" s="704"/>
      <c r="N37" s="712" t="s">
        <v>694</v>
      </c>
      <c r="O37" s="713" t="s">
        <v>695</v>
      </c>
    </row>
    <row r="38" spans="1:15" s="707" customFormat="1" ht="19.5" customHeight="1" x14ac:dyDescent="0.2">
      <c r="A38" s="701" t="str">
        <f>Led!D33</f>
        <v/>
      </c>
      <c r="B38" s="702" t="str">
        <f>Led!E33</f>
        <v/>
      </c>
      <c r="C38" s="703" t="str">
        <f>IF(ISNUMBER(A38),(IF(Led!F33=Led!$Q$94,Led!F33,IF(ISBLANK($C$5),"",Led!F33))),"")</f>
        <v/>
      </c>
      <c r="D38" s="703" t="str">
        <f>Led!CS33</f>
        <v/>
      </c>
      <c r="E38" s="704"/>
      <c r="F38" s="704"/>
      <c r="G38" s="704"/>
      <c r="H38" s="704"/>
      <c r="I38" s="704"/>
      <c r="J38" s="704"/>
      <c r="K38" s="704"/>
      <c r="L38" s="704"/>
      <c r="M38" s="704"/>
      <c r="N38" s="711" t="s">
        <v>722</v>
      </c>
      <c r="O38" s="706" t="s">
        <v>723</v>
      </c>
    </row>
    <row r="39" spans="1:15" s="707" customFormat="1" ht="19.5" customHeight="1" x14ac:dyDescent="0.2">
      <c r="A39" s="701" t="str">
        <f>Led!D34</f>
        <v/>
      </c>
      <c r="B39" s="702" t="str">
        <f>Led!E34</f>
        <v/>
      </c>
      <c r="C39" s="703" t="str">
        <f>IF(ISNUMBER(A39),(IF(Led!F34=Led!$Q$94,Led!F34,IF(ISBLANK($C$5),"",Led!F34))),"")</f>
        <v/>
      </c>
      <c r="D39" s="703" t="str">
        <f>Led!CS34</f>
        <v/>
      </c>
      <c r="E39" s="704"/>
      <c r="F39" s="704"/>
      <c r="G39" s="704"/>
      <c r="H39" s="704"/>
      <c r="I39" s="704"/>
      <c r="J39" s="704"/>
      <c r="K39" s="704"/>
      <c r="L39" s="704"/>
      <c r="M39" s="704"/>
      <c r="N39" s="711" t="s">
        <v>720</v>
      </c>
      <c r="O39" s="706" t="s">
        <v>721</v>
      </c>
    </row>
    <row r="40" spans="1:15" s="707" customFormat="1" ht="19.5" customHeight="1" x14ac:dyDescent="0.2">
      <c r="A40" s="701" t="str">
        <f>Led!D35</f>
        <v/>
      </c>
      <c r="B40" s="702" t="str">
        <f>Led!E35</f>
        <v/>
      </c>
      <c r="C40" s="703" t="str">
        <f>IF(ISNUMBER(A40),(IF(Led!F35=Led!$Q$94,Led!F35,IF(ISBLANK($C$5),"",Led!F35))),"")</f>
        <v/>
      </c>
      <c r="D40" s="703" t="str">
        <f>Led!CS35</f>
        <v/>
      </c>
      <c r="E40" s="704"/>
      <c r="F40" s="704"/>
      <c r="G40" s="704"/>
      <c r="H40" s="704"/>
      <c r="I40" s="704"/>
      <c r="J40" s="704"/>
      <c r="K40" s="704"/>
      <c r="L40" s="704"/>
      <c r="M40" s="704"/>
      <c r="N40" s="711" t="s">
        <v>772</v>
      </c>
      <c r="O40" s="706" t="s">
        <v>1195</v>
      </c>
    </row>
    <row r="41" spans="1:15" s="707" customFormat="1" ht="19.5" customHeight="1" x14ac:dyDescent="0.2">
      <c r="A41" s="701" t="str">
        <f>Led!D36</f>
        <v/>
      </c>
      <c r="B41" s="702" t="str">
        <f>Led!E36</f>
        <v/>
      </c>
      <c r="C41" s="703" t="str">
        <f>IF(ISNUMBER(A41),(IF(Led!F36=Led!$Q$94,Led!F36,IF(ISBLANK($C$5),"",Led!F36))),"")</f>
        <v/>
      </c>
      <c r="D41" s="703" t="str">
        <f>Led!CS36</f>
        <v/>
      </c>
      <c r="E41" s="704"/>
      <c r="F41" s="704"/>
      <c r="G41" s="704"/>
      <c r="H41" s="704"/>
      <c r="I41" s="704"/>
      <c r="J41" s="704"/>
      <c r="K41" s="704"/>
      <c r="L41" s="704"/>
      <c r="M41" s="704"/>
      <c r="N41" s="711" t="s">
        <v>667</v>
      </c>
      <c r="O41" s="706" t="s">
        <v>668</v>
      </c>
    </row>
    <row r="42" spans="1:15" s="707" customFormat="1" ht="19.5" customHeight="1" x14ac:dyDescent="0.2">
      <c r="A42" s="701" t="str">
        <f>Led!D37</f>
        <v/>
      </c>
      <c r="B42" s="702" t="str">
        <f>Led!E37</f>
        <v/>
      </c>
      <c r="C42" s="703" t="str">
        <f>IF(ISNUMBER(A42),(IF(Led!F37=Led!$Q$94,Led!F37,IF(ISBLANK($C$5),"",Led!F37))),"")</f>
        <v/>
      </c>
      <c r="D42" s="703" t="str">
        <f>Led!CS37</f>
        <v/>
      </c>
      <c r="E42" s="704"/>
      <c r="F42" s="704"/>
      <c r="G42" s="704"/>
      <c r="H42" s="704"/>
      <c r="I42" s="704"/>
      <c r="J42" s="704"/>
      <c r="K42" s="704"/>
      <c r="L42" s="704"/>
      <c r="M42" s="704"/>
      <c r="N42" s="709" t="s">
        <v>1177</v>
      </c>
      <c r="O42" s="710" t="s">
        <v>1178</v>
      </c>
    </row>
    <row r="43" spans="1:15" s="707" customFormat="1" ht="19.5" customHeight="1" x14ac:dyDescent="0.2">
      <c r="A43" s="701" t="str">
        <f>Led!D38</f>
        <v/>
      </c>
      <c r="B43" s="702" t="str">
        <f>Led!E38</f>
        <v/>
      </c>
      <c r="C43" s="703" t="str">
        <f>IF(ISNUMBER(A43),(IF(Led!F38=Led!$Q$94,Led!F38,IF(ISBLANK($C$5),"",Led!F38))),"")</f>
        <v/>
      </c>
      <c r="D43" s="703" t="str">
        <f>Led!CS38</f>
        <v/>
      </c>
      <c r="E43" s="704"/>
      <c r="F43" s="704"/>
      <c r="G43" s="704"/>
      <c r="H43" s="704"/>
      <c r="I43" s="704"/>
      <c r="J43" s="704"/>
      <c r="K43" s="704"/>
      <c r="L43" s="704"/>
      <c r="M43" s="704"/>
      <c r="N43" s="714" t="s">
        <v>11</v>
      </c>
      <c r="O43" s="715"/>
    </row>
    <row r="44" spans="1:15" s="707" customFormat="1" ht="19.5" customHeight="1" x14ac:dyDescent="0.2">
      <c r="A44" s="701" t="str">
        <f>Led!D39</f>
        <v/>
      </c>
      <c r="B44" s="702" t="str">
        <f>Led!E39</f>
        <v/>
      </c>
      <c r="C44" s="703" t="str">
        <f>IF(ISNUMBER(A44),(IF(Led!F39=Led!$Q$94,Led!F39,IF(ISBLANK($C$5),"",Led!F39))),"")</f>
        <v/>
      </c>
      <c r="D44" s="703" t="str">
        <f>Led!CS39</f>
        <v/>
      </c>
      <c r="E44" s="704"/>
      <c r="F44" s="704"/>
      <c r="G44" s="704"/>
      <c r="H44" s="704"/>
      <c r="I44" s="704"/>
      <c r="J44" s="704"/>
      <c r="K44" s="704"/>
      <c r="L44" s="704"/>
      <c r="M44" s="704"/>
      <c r="N44" s="716" t="s">
        <v>482</v>
      </c>
      <c r="O44" s="717" t="s">
        <v>947</v>
      </c>
    </row>
    <row r="45" spans="1:15" s="707" customFormat="1" ht="19.5" customHeight="1" x14ac:dyDescent="0.2">
      <c r="A45" s="701" t="str">
        <f>Led!D40</f>
        <v/>
      </c>
      <c r="B45" s="702" t="str">
        <f>Led!E40</f>
        <v/>
      </c>
      <c r="C45" s="703" t="str">
        <f>IF(ISNUMBER(A45),(IF(Led!F40=Led!$Q$94,Led!F40,IF(ISBLANK($C$5),"",Led!F40))),"")</f>
        <v/>
      </c>
      <c r="D45" s="703" t="str">
        <f>Led!CS40</f>
        <v/>
      </c>
      <c r="E45" s="704"/>
      <c r="F45" s="704"/>
      <c r="G45" s="704"/>
      <c r="H45" s="704"/>
      <c r="I45" s="704"/>
      <c r="J45" s="704"/>
      <c r="K45" s="704"/>
      <c r="L45" s="704"/>
      <c r="M45" s="704"/>
      <c r="N45" s="718">
        <v>10</v>
      </c>
      <c r="O45" s="719" t="s">
        <v>812</v>
      </c>
    </row>
    <row r="46" spans="1:15" s="707" customFormat="1" ht="19.5" customHeight="1" x14ac:dyDescent="0.2">
      <c r="A46" s="701" t="str">
        <f>Led!D41</f>
        <v/>
      </c>
      <c r="B46" s="702" t="str">
        <f>Led!E41</f>
        <v/>
      </c>
      <c r="C46" s="703" t="str">
        <f>IF(ISNUMBER(A46),(IF(Led!F41=Led!$Q$94,Led!F41,IF(ISBLANK($C$5),"",Led!F41))),"")</f>
        <v/>
      </c>
      <c r="D46" s="703" t="str">
        <f>Led!CS41</f>
        <v/>
      </c>
      <c r="E46" s="704"/>
      <c r="F46" s="704"/>
      <c r="G46" s="704"/>
      <c r="H46" s="704"/>
      <c r="I46" s="704"/>
      <c r="J46" s="704"/>
      <c r="K46" s="704"/>
      <c r="L46" s="704"/>
      <c r="M46" s="704"/>
      <c r="N46" s="718" t="s">
        <v>813</v>
      </c>
      <c r="O46" s="719" t="s">
        <v>940</v>
      </c>
    </row>
    <row r="47" spans="1:15" s="707" customFormat="1" ht="19.5" customHeight="1" x14ac:dyDescent="0.2">
      <c r="A47" s="701" t="str">
        <f>Led!D42</f>
        <v/>
      </c>
      <c r="B47" s="702" t="str">
        <f>Led!E42</f>
        <v/>
      </c>
      <c r="C47" s="703" t="str">
        <f>IF(ISNUMBER(A47),(IF(Led!F42=Led!$Q$94,Led!F42,IF(ISBLANK($C$5),"",Led!F42))),"")</f>
        <v/>
      </c>
      <c r="D47" s="703" t="str">
        <f>Led!CS42</f>
        <v/>
      </c>
      <c r="E47" s="704"/>
      <c r="F47" s="704"/>
      <c r="G47" s="704"/>
      <c r="H47" s="704"/>
      <c r="I47" s="704"/>
      <c r="J47" s="704"/>
      <c r="K47" s="704"/>
      <c r="L47" s="704"/>
      <c r="M47" s="704"/>
      <c r="N47" s="718" t="s">
        <v>815</v>
      </c>
      <c r="O47" s="719" t="s">
        <v>816</v>
      </c>
    </row>
    <row r="48" spans="1:15" s="707" customFormat="1" ht="19.5" customHeight="1" x14ac:dyDescent="0.2">
      <c r="A48" s="701" t="str">
        <f>Led!D43</f>
        <v/>
      </c>
      <c r="B48" s="702" t="str">
        <f>Led!E43</f>
        <v/>
      </c>
      <c r="C48" s="703" t="str">
        <f>IF(ISNUMBER(A48),(IF(Led!F43=Led!$Q$94,Led!F43,IF(ISBLANK($C$5),"",Led!F43))),"")</f>
        <v/>
      </c>
      <c r="D48" s="703" t="str">
        <f>Led!CS43</f>
        <v/>
      </c>
      <c r="E48" s="704"/>
      <c r="F48" s="704"/>
      <c r="G48" s="704"/>
      <c r="H48" s="704"/>
      <c r="I48" s="704"/>
      <c r="J48" s="704"/>
      <c r="K48" s="704"/>
      <c r="L48" s="704"/>
      <c r="M48" s="704"/>
      <c r="N48" s="718">
        <v>30</v>
      </c>
      <c r="O48" s="719" t="s">
        <v>941</v>
      </c>
    </row>
    <row r="49" spans="1:15" s="707" customFormat="1" ht="19.5" customHeight="1" x14ac:dyDescent="0.2">
      <c r="A49" s="701" t="str">
        <f>Led!D44</f>
        <v/>
      </c>
      <c r="B49" s="702" t="str">
        <f>Led!E44</f>
        <v/>
      </c>
      <c r="C49" s="703" t="str">
        <f>IF(ISNUMBER(A49),(IF(Led!F44=Led!$Q$94,Led!F44,IF(ISBLANK($C$5),"",Led!F44))),"")</f>
        <v/>
      </c>
      <c r="D49" s="703" t="str">
        <f>Led!CS44</f>
        <v/>
      </c>
      <c r="E49" s="704"/>
      <c r="F49" s="704"/>
      <c r="G49" s="704"/>
      <c r="H49" s="708"/>
      <c r="I49" s="704"/>
      <c r="J49" s="704"/>
      <c r="K49" s="704"/>
      <c r="L49" s="704"/>
      <c r="M49" s="704"/>
      <c r="N49" s="718" t="s">
        <v>818</v>
      </c>
      <c r="O49" s="719" t="s">
        <v>942</v>
      </c>
    </row>
    <row r="50" spans="1:15" s="707" customFormat="1" ht="19.5" customHeight="1" x14ac:dyDescent="0.2">
      <c r="A50" s="701" t="str">
        <f>Led!D45</f>
        <v/>
      </c>
      <c r="B50" s="702" t="str">
        <f>Led!E45</f>
        <v/>
      </c>
      <c r="C50" s="703" t="str">
        <f>IF(ISNUMBER(A50),(IF(Led!F45=Led!$Q$94,Led!F45,IF(ISBLANK($C$5),"",Led!F45))),"")</f>
        <v/>
      </c>
      <c r="D50" s="703" t="str">
        <f>Led!CS45</f>
        <v/>
      </c>
      <c r="E50" s="704"/>
      <c r="F50" s="704"/>
      <c r="G50" s="704"/>
      <c r="H50" s="704"/>
      <c r="I50" s="704"/>
      <c r="J50" s="704"/>
      <c r="K50" s="704"/>
      <c r="L50" s="704"/>
      <c r="M50" s="704"/>
      <c r="N50" s="718" t="s">
        <v>820</v>
      </c>
      <c r="O50" s="719" t="s">
        <v>943</v>
      </c>
    </row>
    <row r="51" spans="1:15" s="707" customFormat="1" ht="19.5" customHeight="1" x14ac:dyDescent="0.2">
      <c r="A51" s="701" t="str">
        <f>Led!D46</f>
        <v/>
      </c>
      <c r="B51" s="702" t="str">
        <f>Led!E46</f>
        <v/>
      </c>
      <c r="C51" s="703" t="str">
        <f>IF(ISNUMBER(A51),(IF(Led!F46=Led!$Q$94,Led!F46,IF(ISBLANK($C$5),"",Led!F46))),"")</f>
        <v/>
      </c>
      <c r="D51" s="703" t="str">
        <f>Led!CS46</f>
        <v/>
      </c>
      <c r="E51" s="704"/>
      <c r="F51" s="704"/>
      <c r="G51" s="704"/>
      <c r="H51" s="704"/>
      <c r="I51" s="704"/>
      <c r="J51" s="704"/>
      <c r="K51" s="704"/>
      <c r="L51" s="704"/>
      <c r="M51" s="704"/>
      <c r="N51" s="718" t="s">
        <v>821</v>
      </c>
      <c r="O51" s="719" t="s">
        <v>822</v>
      </c>
    </row>
    <row r="52" spans="1:15" s="707" customFormat="1" ht="19.5" customHeight="1" x14ac:dyDescent="0.2">
      <c r="A52" s="701" t="str">
        <f>Led!D47</f>
        <v/>
      </c>
      <c r="B52" s="702" t="str">
        <f>Led!E47</f>
        <v/>
      </c>
      <c r="C52" s="703" t="str">
        <f>IF(ISNUMBER(A52),(IF(Led!F47=Led!$Q$94,Led!F47,IF(ISBLANK($C$5),"",Led!F47))),"")</f>
        <v/>
      </c>
      <c r="D52" s="703" t="str">
        <f>Led!CS47</f>
        <v/>
      </c>
      <c r="E52" s="704"/>
      <c r="F52" s="704"/>
      <c r="G52" s="704"/>
      <c r="H52" s="704"/>
      <c r="I52" s="704"/>
      <c r="J52" s="704"/>
      <c r="K52" s="704"/>
      <c r="L52" s="704"/>
      <c r="M52" s="704"/>
      <c r="N52" s="718" t="s">
        <v>823</v>
      </c>
      <c r="O52" s="720" t="s">
        <v>944</v>
      </c>
    </row>
    <row r="53" spans="1:15" s="707" customFormat="1" ht="19.5" customHeight="1" x14ac:dyDescent="0.2">
      <c r="A53" s="701" t="str">
        <f>Led!D48</f>
        <v/>
      </c>
      <c r="B53" s="702" t="str">
        <f>Led!E48</f>
        <v/>
      </c>
      <c r="C53" s="703" t="str">
        <f>IF(ISNUMBER(A53),(IF(Led!F48=Led!$Q$94,Led!F48,IF(ISBLANK($C$5),"",Led!F48))),"")</f>
        <v/>
      </c>
      <c r="D53" s="703" t="str">
        <f>Led!CS48</f>
        <v/>
      </c>
      <c r="E53" s="704"/>
      <c r="F53" s="704"/>
      <c r="G53" s="704"/>
      <c r="H53" s="704"/>
      <c r="I53" s="704"/>
      <c r="J53" s="704"/>
      <c r="K53" s="704"/>
      <c r="L53" s="704"/>
      <c r="M53" s="704"/>
      <c r="N53" s="718" t="s">
        <v>825</v>
      </c>
      <c r="O53" s="719" t="s">
        <v>946</v>
      </c>
    </row>
    <row r="54" spans="1:15" s="707" customFormat="1" ht="19.5" customHeight="1" x14ac:dyDescent="0.2">
      <c r="A54" s="701" t="str">
        <f>Led!D49</f>
        <v/>
      </c>
      <c r="B54" s="702" t="str">
        <f>Led!E49</f>
        <v/>
      </c>
      <c r="C54" s="703" t="str">
        <f>IF(ISNUMBER(A54),(IF(Led!F49=Led!$Q$94,Led!F49,IF(ISBLANK($C$5),"",Led!F49))),"")</f>
        <v/>
      </c>
      <c r="D54" s="703" t="str">
        <f>Led!CS49</f>
        <v/>
      </c>
      <c r="E54" s="704"/>
      <c r="F54" s="704"/>
      <c r="G54" s="704"/>
      <c r="H54" s="704"/>
      <c r="I54" s="704"/>
      <c r="J54" s="704"/>
      <c r="K54" s="704"/>
      <c r="L54" s="704"/>
      <c r="M54" s="704"/>
      <c r="N54" s="718" t="s">
        <v>827</v>
      </c>
      <c r="O54" s="719" t="s">
        <v>945</v>
      </c>
    </row>
    <row r="55" spans="1:15" s="707" customFormat="1" ht="19.5" customHeight="1" x14ac:dyDescent="0.2">
      <c r="A55" s="701" t="str">
        <f>Led!D50</f>
        <v/>
      </c>
      <c r="B55" s="702" t="str">
        <f>Led!E50</f>
        <v/>
      </c>
      <c r="C55" s="703" t="str">
        <f>IF(ISNUMBER(A55),(IF(Led!F50=Led!$Q$94,Led!F50,IF(ISBLANK($C$5),"",Led!F50))),"")</f>
        <v/>
      </c>
      <c r="D55" s="703" t="str">
        <f>Led!CS50</f>
        <v/>
      </c>
      <c r="E55" s="704"/>
      <c r="F55" s="704"/>
      <c r="G55" s="704"/>
      <c r="H55" s="704"/>
      <c r="I55" s="704"/>
      <c r="J55" s="704"/>
      <c r="K55" s="704"/>
      <c r="L55" s="704"/>
      <c r="M55" s="704"/>
      <c r="N55" s="718" t="s">
        <v>829</v>
      </c>
      <c r="O55" s="719" t="s">
        <v>830</v>
      </c>
    </row>
    <row r="56" spans="1:15" s="707" customFormat="1" ht="19.5" customHeight="1" x14ac:dyDescent="0.2">
      <c r="A56" s="701" t="str">
        <f>Led!D51</f>
        <v/>
      </c>
      <c r="B56" s="702" t="str">
        <f>Led!E51</f>
        <v/>
      </c>
      <c r="C56" s="703" t="str">
        <f>IF(ISNUMBER(A56),(IF(Led!F51=Led!$Q$94,Led!F51,IF(ISBLANK($C$5),"",Led!F51))),"")</f>
        <v/>
      </c>
      <c r="D56" s="703" t="str">
        <f>Led!CS51</f>
        <v/>
      </c>
      <c r="E56" s="704"/>
      <c r="F56" s="704"/>
      <c r="G56" s="704"/>
      <c r="H56" s="704"/>
      <c r="I56" s="704"/>
      <c r="J56" s="704"/>
      <c r="K56" s="704"/>
      <c r="L56" s="704"/>
      <c r="M56" s="704"/>
      <c r="N56" s="721" t="s">
        <v>831</v>
      </c>
      <c r="O56" s="722" t="s">
        <v>502</v>
      </c>
    </row>
    <row r="57" spans="1:15" s="707" customFormat="1" ht="19.5" customHeight="1" x14ac:dyDescent="0.2">
      <c r="A57" s="701" t="str">
        <f>Led!D52</f>
        <v/>
      </c>
      <c r="B57" s="702" t="str">
        <f>Led!E52</f>
        <v/>
      </c>
      <c r="C57" s="703" t="str">
        <f>IF(ISNUMBER(A57),(IF(Led!F52=Led!$Q$94,Led!F52,IF(ISBLANK($C$5),"",Led!F52))),"")</f>
        <v/>
      </c>
      <c r="D57" s="703" t="str">
        <f>Led!CS52</f>
        <v/>
      </c>
      <c r="E57" s="704"/>
      <c r="F57" s="704"/>
      <c r="G57" s="704"/>
      <c r="H57" s="704"/>
      <c r="I57" s="704"/>
      <c r="J57" s="704"/>
      <c r="K57" s="704"/>
      <c r="L57" s="704"/>
      <c r="M57" s="704"/>
      <c r="N57" s="723"/>
      <c r="O57" s="724"/>
    </row>
    <row r="58" spans="1:15" s="707" customFormat="1" ht="19.5" customHeight="1" x14ac:dyDescent="0.2">
      <c r="A58" s="701" t="str">
        <f>Led!D53</f>
        <v/>
      </c>
      <c r="B58" s="702" t="str">
        <f>Led!E53</f>
        <v/>
      </c>
      <c r="C58" s="703" t="str">
        <f>IF(ISNUMBER(A58),(IF(Led!F53=Led!$Q$94,Led!F53,IF(ISBLANK($C$5),"",Led!F53))),"")</f>
        <v/>
      </c>
      <c r="D58" s="703" t="str">
        <f>Led!CS53</f>
        <v/>
      </c>
      <c r="E58" s="704"/>
      <c r="F58" s="704"/>
      <c r="G58" s="704"/>
      <c r="H58" s="704"/>
      <c r="I58" s="704"/>
      <c r="J58" s="704"/>
      <c r="K58" s="704"/>
      <c r="L58" s="704"/>
      <c r="M58" s="704"/>
      <c r="N58" s="723"/>
      <c r="O58" s="724"/>
    </row>
    <row r="59" spans="1:15" s="707" customFormat="1" ht="19.5" customHeight="1" x14ac:dyDescent="0.2">
      <c r="A59" s="701" t="str">
        <f>Led!D54</f>
        <v/>
      </c>
      <c r="B59" s="702" t="str">
        <f>Led!E54</f>
        <v/>
      </c>
      <c r="C59" s="703" t="str">
        <f>IF(ISNUMBER(A59),(IF(Led!F54=Led!$Q$94,Led!F54,IF(ISBLANK($C$5),"",Led!F54))),"")</f>
        <v/>
      </c>
      <c r="D59" s="703" t="str">
        <f>Led!CS54</f>
        <v/>
      </c>
      <c r="E59" s="704"/>
      <c r="F59" s="704"/>
      <c r="G59" s="704"/>
      <c r="H59" s="704"/>
      <c r="I59" s="704"/>
      <c r="J59" s="704"/>
      <c r="K59" s="704"/>
      <c r="L59" s="704"/>
      <c r="M59" s="704"/>
      <c r="N59" s="723" t="s">
        <v>773</v>
      </c>
      <c r="O59" s="724" t="s">
        <v>774</v>
      </c>
    </row>
    <row r="60" spans="1:15" s="707" customFormat="1" ht="19.5" customHeight="1" x14ac:dyDescent="0.2">
      <c r="A60" s="701" t="str">
        <f>Led!D55</f>
        <v/>
      </c>
      <c r="B60" s="702" t="str">
        <f>Led!E55</f>
        <v/>
      </c>
      <c r="C60" s="703" t="str">
        <f>IF(ISNUMBER(A60),(IF(Led!F55=Led!$Q$94,Led!F55,IF(ISBLANK($C$5),"",Led!F55))),"")</f>
        <v/>
      </c>
      <c r="D60" s="703" t="str">
        <f>Led!CS55</f>
        <v/>
      </c>
      <c r="E60" s="704"/>
      <c r="F60" s="704"/>
      <c r="G60" s="704"/>
      <c r="H60" s="704"/>
      <c r="I60" s="704"/>
      <c r="J60" s="704"/>
      <c r="K60" s="704"/>
      <c r="L60" s="704"/>
      <c r="M60" s="704"/>
      <c r="N60" s="723" t="s">
        <v>778</v>
      </c>
      <c r="O60" s="724" t="s">
        <v>779</v>
      </c>
    </row>
    <row r="61" spans="1:15" s="707" customFormat="1" ht="19.5" customHeight="1" x14ac:dyDescent="0.2">
      <c r="A61" s="701" t="str">
        <f>Led!D56</f>
        <v/>
      </c>
      <c r="B61" s="702" t="str">
        <f>Led!E56</f>
        <v/>
      </c>
      <c r="C61" s="703" t="str">
        <f>IF(ISNUMBER(A61),(IF(Led!F56=Led!$Q$94,Led!F56,IF(ISBLANK($C$5),"",Led!F56))),"")</f>
        <v/>
      </c>
      <c r="D61" s="703" t="str">
        <f>Led!CS56</f>
        <v/>
      </c>
      <c r="E61" s="704"/>
      <c r="F61" s="704"/>
      <c r="G61" s="704"/>
      <c r="H61" s="704"/>
      <c r="I61" s="704"/>
      <c r="J61" s="704"/>
      <c r="K61" s="704"/>
      <c r="L61" s="704"/>
      <c r="M61" s="704"/>
      <c r="N61" s="723" t="s">
        <v>775</v>
      </c>
      <c r="O61" s="724" t="s">
        <v>776</v>
      </c>
    </row>
    <row r="62" spans="1:15" s="707" customFormat="1" ht="19.5" customHeight="1" x14ac:dyDescent="0.2">
      <c r="A62" s="701" t="str">
        <f>Led!D57</f>
        <v/>
      </c>
      <c r="B62" s="702" t="str">
        <f>Led!E57</f>
        <v/>
      </c>
      <c r="C62" s="703" t="str">
        <f>IF(ISNUMBER(A62),(IF(Led!F57=Led!$Q$94,Led!F57,IF(ISBLANK($C$5),"",Led!F57))),"")</f>
        <v/>
      </c>
      <c r="D62" s="703" t="str">
        <f>Led!CS57</f>
        <v/>
      </c>
      <c r="E62" s="704"/>
      <c r="F62" s="704"/>
      <c r="G62" s="704"/>
      <c r="H62" s="704"/>
      <c r="I62" s="704"/>
      <c r="J62" s="704"/>
      <c r="K62" s="704"/>
      <c r="L62" s="704"/>
      <c r="M62" s="704"/>
      <c r="N62" s="723" t="s">
        <v>780</v>
      </c>
      <c r="O62" s="724" t="s">
        <v>781</v>
      </c>
    </row>
    <row r="63" spans="1:15" s="707" customFormat="1" ht="19.5" customHeight="1" x14ac:dyDescent="0.2">
      <c r="A63" s="701" t="str">
        <f>Led!D58</f>
        <v/>
      </c>
      <c r="B63" s="702" t="str">
        <f>Led!E58</f>
        <v/>
      </c>
      <c r="C63" s="703" t="str">
        <f>IF(ISNUMBER(A63),(IF(Led!F58=Led!$Q$94,Led!F58,IF(ISBLANK($C$5),"",Led!F58))),"")</f>
        <v/>
      </c>
      <c r="D63" s="703" t="str">
        <f>Led!CS58</f>
        <v/>
      </c>
      <c r="E63" s="704"/>
      <c r="F63" s="704"/>
      <c r="G63" s="704"/>
      <c r="H63" s="704"/>
      <c r="I63" s="704"/>
      <c r="J63" s="704"/>
      <c r="K63" s="704"/>
      <c r="L63" s="704"/>
      <c r="M63" s="704"/>
      <c r="N63" s="725" t="s">
        <v>771</v>
      </c>
      <c r="O63" s="724" t="s">
        <v>782</v>
      </c>
    </row>
    <row r="64" spans="1:15" s="707" customFormat="1" ht="19.5" customHeight="1" x14ac:dyDescent="0.2">
      <c r="A64" s="701" t="str">
        <f>Led!D59</f>
        <v/>
      </c>
      <c r="B64" s="702" t="str">
        <f>Led!E59</f>
        <v/>
      </c>
      <c r="C64" s="703" t="str">
        <f>IF(ISNUMBER(A64),(IF(Led!F59=Led!$Q$94,Led!F59,IF(ISBLANK($C$5),"",Led!F59))),"")</f>
        <v/>
      </c>
      <c r="D64" s="703" t="str">
        <f>Led!CS59</f>
        <v/>
      </c>
      <c r="E64" s="704"/>
      <c r="F64" s="704"/>
      <c r="G64" s="704"/>
      <c r="H64" s="704"/>
      <c r="I64" s="704"/>
      <c r="J64" s="704"/>
      <c r="K64" s="704"/>
      <c r="L64" s="704"/>
      <c r="M64" s="704"/>
      <c r="N64" s="723" t="s">
        <v>739</v>
      </c>
      <c r="O64" s="724" t="s">
        <v>777</v>
      </c>
    </row>
    <row r="65" spans="1:15" s="707" customFormat="1" ht="19.5" customHeight="1" x14ac:dyDescent="0.2">
      <c r="A65" s="701" t="str">
        <f>Led!D60</f>
        <v/>
      </c>
      <c r="B65" s="702" t="str">
        <f>Led!E60</f>
        <v/>
      </c>
      <c r="C65" s="703" t="str">
        <f>IF(ISNUMBER(A65),(IF(Led!F60=Led!$Q$94,Led!F60,IF(ISBLANK($C$5),"",Led!F60))),"")</f>
        <v/>
      </c>
      <c r="D65" s="703" t="str">
        <f>Led!CS60</f>
        <v/>
      </c>
      <c r="E65" s="704"/>
      <c r="F65" s="704"/>
      <c r="G65" s="704"/>
      <c r="H65" s="704"/>
      <c r="I65" s="704"/>
      <c r="J65" s="704"/>
      <c r="K65" s="704"/>
      <c r="L65" s="704"/>
      <c r="M65" s="704"/>
      <c r="N65" s="723" t="s">
        <v>783</v>
      </c>
      <c r="O65" s="724" t="s">
        <v>785</v>
      </c>
    </row>
    <row r="66" spans="1:15" s="707" customFormat="1" ht="19.5" customHeight="1" x14ac:dyDescent="0.2">
      <c r="A66" s="701" t="str">
        <f>Led!D61</f>
        <v/>
      </c>
      <c r="B66" s="702" t="str">
        <f>Led!E61</f>
        <v/>
      </c>
      <c r="C66" s="703" t="str">
        <f>IF(ISNUMBER(A66),(IF(Led!F61=Led!$Q$94,Led!F61,IF(ISBLANK($C$5),"",Led!F61))),"")</f>
        <v/>
      </c>
      <c r="D66" s="703" t="str">
        <f>Led!CS61</f>
        <v/>
      </c>
      <c r="E66" s="704"/>
      <c r="F66" s="704"/>
      <c r="G66" s="704"/>
      <c r="H66" s="704"/>
      <c r="I66" s="704"/>
      <c r="J66" s="704"/>
      <c r="K66" s="704"/>
      <c r="L66" s="704"/>
      <c r="M66" s="704"/>
      <c r="N66" s="723" t="s">
        <v>784</v>
      </c>
      <c r="O66" s="724" t="s">
        <v>786</v>
      </c>
    </row>
    <row r="67" spans="1:15" s="707" customFormat="1" ht="19.5" customHeight="1" x14ac:dyDescent="0.2">
      <c r="A67" s="701" t="str">
        <f>Led!D62</f>
        <v/>
      </c>
      <c r="B67" s="702" t="str">
        <f>Led!E62</f>
        <v/>
      </c>
      <c r="C67" s="703" t="str">
        <f>IF(ISNUMBER(A67),(IF(Led!F62=Led!$Q$94,Led!F62,IF(ISBLANK($C$5),"",Led!F62))),"")</f>
        <v/>
      </c>
      <c r="D67" s="703" t="str">
        <f>Led!CS62</f>
        <v/>
      </c>
      <c r="E67" s="704"/>
      <c r="F67" s="704"/>
      <c r="G67" s="704"/>
      <c r="H67" s="704"/>
      <c r="I67" s="704"/>
      <c r="J67" s="704"/>
      <c r="K67" s="704"/>
      <c r="L67" s="704"/>
      <c r="M67" s="704"/>
      <c r="N67" s="723" t="s">
        <v>1198</v>
      </c>
      <c r="O67" s="724" t="s">
        <v>1204</v>
      </c>
    </row>
    <row r="68" spans="1:15" s="707" customFormat="1" ht="19.5" customHeight="1" x14ac:dyDescent="0.2">
      <c r="A68" s="701" t="str">
        <f>Led!D63</f>
        <v/>
      </c>
      <c r="B68" s="702" t="str">
        <f>Led!E63</f>
        <v/>
      </c>
      <c r="C68" s="703" t="str">
        <f>IF(ISNUMBER(A68),(IF(Led!F63=Led!$Q$94,Led!F63,IF(ISBLANK($C$5),"",Led!F63))),"")</f>
        <v/>
      </c>
      <c r="D68" s="703" t="str">
        <f>Led!CS63</f>
        <v/>
      </c>
      <c r="E68" s="704"/>
      <c r="F68" s="704"/>
      <c r="G68" s="704"/>
      <c r="H68" s="704"/>
      <c r="I68" s="704"/>
      <c r="J68" s="704"/>
      <c r="K68" s="704"/>
      <c r="L68" s="704"/>
      <c r="M68" s="704"/>
      <c r="N68" s="723" t="s">
        <v>1199</v>
      </c>
      <c r="O68" s="726"/>
    </row>
    <row r="69" spans="1:15" s="707" customFormat="1" ht="19.5" customHeight="1" x14ac:dyDescent="0.2">
      <c r="A69" s="701" t="str">
        <f>Led!D64</f>
        <v/>
      </c>
      <c r="B69" s="702" t="str">
        <f>Led!E64</f>
        <v/>
      </c>
      <c r="C69" s="703" t="str">
        <f>IF(ISNUMBER(A69),(IF(Led!F64=Led!$Q$94,Led!F64,IF(ISBLANK($C$5),"",Led!F64))),"")</f>
        <v/>
      </c>
      <c r="D69" s="703" t="str">
        <f>Led!CS64</f>
        <v/>
      </c>
      <c r="E69" s="704"/>
      <c r="F69" s="704"/>
      <c r="G69" s="704"/>
      <c r="H69" s="704"/>
      <c r="I69" s="704"/>
      <c r="J69" s="704"/>
      <c r="K69" s="704"/>
      <c r="L69" s="704"/>
      <c r="M69" s="704"/>
      <c r="N69" s="723" t="s">
        <v>1200</v>
      </c>
      <c r="O69" s="726"/>
    </row>
    <row r="70" spans="1:15" s="707" customFormat="1" ht="19.5" customHeight="1" x14ac:dyDescent="0.2">
      <c r="A70" s="701" t="str">
        <f>Led!D65</f>
        <v/>
      </c>
      <c r="B70" s="702" t="str">
        <f>Led!E65</f>
        <v/>
      </c>
      <c r="C70" s="703" t="str">
        <f>IF(ISNUMBER(A70),(IF(Led!F65=Led!$Q$94,Led!F65,IF(ISBLANK($C$5),"",Led!F65))),"")</f>
        <v/>
      </c>
      <c r="D70" s="703" t="str">
        <f>Led!CS65</f>
        <v/>
      </c>
      <c r="E70" s="704"/>
      <c r="F70" s="704"/>
      <c r="G70" s="704"/>
      <c r="H70" s="704"/>
      <c r="I70" s="704"/>
      <c r="J70" s="704"/>
      <c r="K70" s="704"/>
      <c r="L70" s="704"/>
      <c r="M70" s="704"/>
      <c r="N70" s="723" t="s">
        <v>1201</v>
      </c>
      <c r="O70" s="726"/>
    </row>
    <row r="71" spans="1:15" ht="19.5" customHeight="1" x14ac:dyDescent="0.2">
      <c r="A71" s="701" t="str">
        <f>Led!D66</f>
        <v/>
      </c>
      <c r="B71" s="702" t="str">
        <f>Led!E66</f>
        <v/>
      </c>
      <c r="C71" s="703" t="str">
        <f>IF(ISNUMBER(A71),(IF(Led!F66=Led!$Q$94,Led!F66,IF(ISBLANK($C$5),"",Led!F66))),"")</f>
        <v/>
      </c>
      <c r="D71" s="703" t="str">
        <f>Led!CS66</f>
        <v/>
      </c>
      <c r="E71" s="704"/>
      <c r="F71" s="704"/>
      <c r="G71" s="704"/>
      <c r="H71" s="704"/>
      <c r="I71" s="704"/>
      <c r="J71" s="704"/>
      <c r="K71" s="704"/>
      <c r="L71" s="704"/>
      <c r="M71" s="704"/>
      <c r="N71" s="723" t="s">
        <v>1202</v>
      </c>
      <c r="O71" s="726"/>
    </row>
    <row r="72" spans="1:15" ht="19.5" customHeight="1" x14ac:dyDescent="0.2">
      <c r="A72" s="701" t="str">
        <f>Led!D67</f>
        <v/>
      </c>
      <c r="B72" s="702" t="str">
        <f>Led!E67</f>
        <v/>
      </c>
      <c r="C72" s="703" t="str">
        <f>IF(ISNUMBER(A72),(IF(Led!F67=Led!$Q$94,Led!F67,IF(ISBLANK($C$5),"",Led!F67))),"")</f>
        <v/>
      </c>
      <c r="D72" s="703" t="str">
        <f>Led!CS67</f>
        <v/>
      </c>
      <c r="E72" s="704"/>
      <c r="F72" s="704"/>
      <c r="G72" s="704"/>
      <c r="H72" s="704"/>
      <c r="I72" s="704"/>
      <c r="J72" s="704"/>
      <c r="K72" s="704"/>
      <c r="L72" s="704"/>
      <c r="M72" s="704"/>
      <c r="N72" s="723" t="s">
        <v>1203</v>
      </c>
      <c r="O72" s="726"/>
    </row>
    <row r="73" spans="1:15" ht="19.5" customHeight="1" x14ac:dyDescent="0.2">
      <c r="A73" s="701" t="str">
        <f>Led!D68</f>
        <v/>
      </c>
      <c r="B73" s="702" t="str">
        <f>Led!E68</f>
        <v/>
      </c>
      <c r="C73" s="703" t="str">
        <f>IF(ISNUMBER(A73),(IF(Led!F68=Led!$Q$94,Led!F68,IF(ISBLANK($C$5),"",Led!F68))),"")</f>
        <v/>
      </c>
      <c r="D73" s="703" t="str">
        <f>Led!CS68</f>
        <v/>
      </c>
      <c r="E73" s="704"/>
      <c r="F73" s="704"/>
      <c r="G73" s="704"/>
      <c r="H73" s="704"/>
      <c r="I73" s="704"/>
      <c r="J73" s="704"/>
      <c r="K73" s="704"/>
      <c r="L73" s="704"/>
      <c r="M73" s="704"/>
      <c r="N73" s="726"/>
      <c r="O73" s="726"/>
    </row>
    <row r="74" spans="1:15" ht="19.5" customHeight="1" x14ac:dyDescent="0.2">
      <c r="A74" s="701" t="str">
        <f>Led!D69</f>
        <v/>
      </c>
      <c r="B74" s="702" t="str">
        <f>Led!E69</f>
        <v/>
      </c>
      <c r="C74" s="703" t="str">
        <f>IF(ISNUMBER(A74),(IF(Led!F69=Led!$Q$94,Led!F69,IF(ISBLANK($C$5),"",Led!F69))),"")</f>
        <v/>
      </c>
      <c r="D74" s="703" t="str">
        <f>Led!CS69</f>
        <v/>
      </c>
      <c r="E74" s="704"/>
      <c r="F74" s="704"/>
      <c r="G74" s="704"/>
      <c r="H74" s="704"/>
      <c r="I74" s="704"/>
      <c r="J74" s="704"/>
      <c r="K74" s="704"/>
      <c r="L74" s="704"/>
      <c r="M74" s="704"/>
      <c r="N74" s="726"/>
      <c r="O74" s="726"/>
    </row>
    <row r="75" spans="1:15" x14ac:dyDescent="0.2">
      <c r="N75" s="727"/>
      <c r="O75" s="727"/>
    </row>
    <row r="76" spans="1:15" x14ac:dyDescent="0.2">
      <c r="N76" s="727"/>
      <c r="O76" s="727"/>
    </row>
    <row r="77" spans="1:15" x14ac:dyDescent="0.2">
      <c r="N77" s="727"/>
      <c r="O77" s="727"/>
    </row>
    <row r="78" spans="1:15" x14ac:dyDescent="0.2">
      <c r="N78" s="727"/>
      <c r="O78" s="727"/>
    </row>
    <row r="79" spans="1:15" x14ac:dyDescent="0.2">
      <c r="N79" s="727"/>
      <c r="O79" s="727"/>
    </row>
    <row r="80" spans="1:15" x14ac:dyDescent="0.2">
      <c r="N80" s="727"/>
      <c r="O80" s="727"/>
    </row>
    <row r="81" spans="14:15" x14ac:dyDescent="0.2">
      <c r="N81" s="727"/>
      <c r="O81" s="727"/>
    </row>
    <row r="82" spans="14:15" x14ac:dyDescent="0.2">
      <c r="N82" s="727"/>
      <c r="O82" s="727"/>
    </row>
    <row r="83" spans="14:15" x14ac:dyDescent="0.2">
      <c r="N83" s="727"/>
      <c r="O83" s="727"/>
    </row>
    <row r="84" spans="14:15" x14ac:dyDescent="0.2">
      <c r="N84" s="727"/>
      <c r="O84" s="727"/>
    </row>
    <row r="85" spans="14:15" x14ac:dyDescent="0.2">
      <c r="N85" s="727"/>
      <c r="O85" s="727"/>
    </row>
    <row r="86" spans="14:15" x14ac:dyDescent="0.2">
      <c r="N86" s="727"/>
      <c r="O86" s="727"/>
    </row>
    <row r="87" spans="14:15" x14ac:dyDescent="0.2">
      <c r="N87" s="727"/>
      <c r="O87" s="727"/>
    </row>
    <row r="88" spans="14:15" x14ac:dyDescent="0.2">
      <c r="N88" s="727"/>
      <c r="O88" s="727"/>
    </row>
    <row r="89" spans="14:15" x14ac:dyDescent="0.2">
      <c r="N89" s="727"/>
      <c r="O89" s="727"/>
    </row>
    <row r="90" spans="14:15" x14ac:dyDescent="0.2">
      <c r="N90" s="727"/>
      <c r="O90" s="727"/>
    </row>
    <row r="91" spans="14:15" x14ac:dyDescent="0.2">
      <c r="N91" s="727"/>
      <c r="O91" s="727"/>
    </row>
    <row r="92" spans="14:15" x14ac:dyDescent="0.2">
      <c r="N92" s="727"/>
      <c r="O92" s="727"/>
    </row>
    <row r="93" spans="14:15" x14ac:dyDescent="0.2">
      <c r="N93" s="727"/>
      <c r="O93" s="727"/>
    </row>
    <row r="94" spans="14:15" x14ac:dyDescent="0.2">
      <c r="N94" s="727"/>
      <c r="O94" s="727"/>
    </row>
    <row r="95" spans="14:15" x14ac:dyDescent="0.2">
      <c r="N95" s="727"/>
      <c r="O95" s="727"/>
    </row>
    <row r="96" spans="14:15" x14ac:dyDescent="0.2">
      <c r="N96" s="727"/>
      <c r="O96" s="727"/>
    </row>
    <row r="97" spans="14:15" x14ac:dyDescent="0.2">
      <c r="N97" s="727"/>
      <c r="O97" s="727"/>
    </row>
    <row r="98" spans="14:15" x14ac:dyDescent="0.2">
      <c r="N98" s="727"/>
      <c r="O98" s="727"/>
    </row>
    <row r="99" spans="14:15" x14ac:dyDescent="0.2">
      <c r="N99" s="727"/>
      <c r="O99" s="727"/>
    </row>
    <row r="100" spans="14:15" x14ac:dyDescent="0.2">
      <c r="N100" s="727"/>
      <c r="O100" s="727"/>
    </row>
    <row r="101" spans="14:15" x14ac:dyDescent="0.2">
      <c r="N101" s="727"/>
      <c r="O101" s="727"/>
    </row>
    <row r="102" spans="14:15" x14ac:dyDescent="0.2">
      <c r="N102" s="727"/>
      <c r="O102" s="727"/>
    </row>
    <row r="103" spans="14:15" x14ac:dyDescent="0.2">
      <c r="N103" s="727"/>
      <c r="O103" s="727"/>
    </row>
    <row r="104" spans="14:15" x14ac:dyDescent="0.2">
      <c r="N104" s="727"/>
      <c r="O104" s="727"/>
    </row>
    <row r="105" spans="14:15" x14ac:dyDescent="0.2">
      <c r="N105" s="727"/>
      <c r="O105" s="727"/>
    </row>
    <row r="106" spans="14:15" x14ac:dyDescent="0.2">
      <c r="N106" s="727"/>
      <c r="O106" s="727"/>
    </row>
    <row r="107" spans="14:15" x14ac:dyDescent="0.2">
      <c r="N107" s="727"/>
      <c r="O107" s="727"/>
    </row>
    <row r="108" spans="14:15" x14ac:dyDescent="0.2">
      <c r="N108" s="727"/>
      <c r="O108" s="727"/>
    </row>
    <row r="109" spans="14:15" x14ac:dyDescent="0.2">
      <c r="N109" s="727"/>
      <c r="O109" s="727"/>
    </row>
    <row r="110" spans="14:15" x14ac:dyDescent="0.2">
      <c r="N110" s="727"/>
      <c r="O110" s="727"/>
    </row>
    <row r="111" spans="14:15" x14ac:dyDescent="0.2">
      <c r="N111" s="727"/>
      <c r="O111" s="727"/>
    </row>
    <row r="112" spans="14:15" x14ac:dyDescent="0.2">
      <c r="N112" s="727"/>
      <c r="O112" s="727"/>
    </row>
    <row r="113" spans="14:15" x14ac:dyDescent="0.2">
      <c r="N113" s="727"/>
      <c r="O113" s="727"/>
    </row>
    <row r="114" spans="14:15" x14ac:dyDescent="0.2">
      <c r="N114" s="727"/>
      <c r="O114" s="727"/>
    </row>
    <row r="115" spans="14:15" x14ac:dyDescent="0.2">
      <c r="N115" s="727"/>
      <c r="O115" s="727"/>
    </row>
    <row r="116" spans="14:15" x14ac:dyDescent="0.2">
      <c r="N116" s="727"/>
      <c r="O116" s="727"/>
    </row>
    <row r="117" spans="14:15" x14ac:dyDescent="0.2">
      <c r="N117" s="727"/>
      <c r="O117" s="727"/>
    </row>
    <row r="118" spans="14:15" x14ac:dyDescent="0.2">
      <c r="N118" s="727"/>
      <c r="O118" s="727"/>
    </row>
    <row r="119" spans="14:15" x14ac:dyDescent="0.2">
      <c r="N119" s="727"/>
      <c r="O119" s="727"/>
    </row>
    <row r="120" spans="14:15" x14ac:dyDescent="0.2">
      <c r="N120" s="727"/>
      <c r="O120" s="727"/>
    </row>
    <row r="121" spans="14:15" x14ac:dyDescent="0.2">
      <c r="N121" s="727"/>
      <c r="O121" s="727"/>
    </row>
    <row r="122" spans="14:15" x14ac:dyDescent="0.2">
      <c r="N122" s="727"/>
      <c r="O122" s="727"/>
    </row>
    <row r="123" spans="14:15" x14ac:dyDescent="0.2">
      <c r="N123" s="727"/>
      <c r="O123" s="727"/>
    </row>
    <row r="124" spans="14:15" x14ac:dyDescent="0.2">
      <c r="N124" s="727"/>
      <c r="O124" s="727"/>
    </row>
    <row r="125" spans="14:15" x14ac:dyDescent="0.2">
      <c r="N125" s="727"/>
      <c r="O125" s="727"/>
    </row>
    <row r="126" spans="14:15" x14ac:dyDescent="0.2">
      <c r="N126" s="727"/>
      <c r="O126" s="727"/>
    </row>
    <row r="127" spans="14:15" x14ac:dyDescent="0.2">
      <c r="N127" s="727"/>
      <c r="O127" s="727"/>
    </row>
    <row r="128" spans="14:15" x14ac:dyDescent="0.2">
      <c r="N128" s="727"/>
      <c r="O128" s="727"/>
    </row>
    <row r="129" spans="14:15" x14ac:dyDescent="0.2">
      <c r="N129" s="727"/>
      <c r="O129" s="727"/>
    </row>
    <row r="130" spans="14:15" x14ac:dyDescent="0.2">
      <c r="N130" s="727"/>
      <c r="O130" s="727"/>
    </row>
    <row r="131" spans="14:15" x14ac:dyDescent="0.2">
      <c r="N131" s="727"/>
      <c r="O131" s="727"/>
    </row>
    <row r="132" spans="14:15" x14ac:dyDescent="0.2">
      <c r="N132" s="727"/>
      <c r="O132" s="727"/>
    </row>
    <row r="133" spans="14:15" x14ac:dyDescent="0.2">
      <c r="N133" s="727"/>
      <c r="O133" s="727"/>
    </row>
    <row r="134" spans="14:15" x14ac:dyDescent="0.2">
      <c r="N134" s="727"/>
      <c r="O134" s="727"/>
    </row>
    <row r="135" spans="14:15" x14ac:dyDescent="0.2">
      <c r="N135" s="727"/>
      <c r="O135" s="727"/>
    </row>
    <row r="136" spans="14:15" x14ac:dyDescent="0.2">
      <c r="N136" s="727"/>
      <c r="O136" s="727"/>
    </row>
    <row r="137" spans="14:15" x14ac:dyDescent="0.2">
      <c r="N137" s="727"/>
      <c r="O137" s="727"/>
    </row>
    <row r="138" spans="14:15" x14ac:dyDescent="0.2">
      <c r="N138" s="727"/>
      <c r="O138" s="727"/>
    </row>
    <row r="139" spans="14:15" x14ac:dyDescent="0.2">
      <c r="N139" s="727"/>
      <c r="O139" s="727"/>
    </row>
    <row r="140" spans="14:15" x14ac:dyDescent="0.2">
      <c r="N140" s="727"/>
      <c r="O140" s="727"/>
    </row>
    <row r="141" spans="14:15" x14ac:dyDescent="0.2">
      <c r="N141" s="727"/>
      <c r="O141" s="727"/>
    </row>
    <row r="142" spans="14:15" x14ac:dyDescent="0.2">
      <c r="N142" s="727"/>
      <c r="O142" s="727"/>
    </row>
    <row r="143" spans="14:15" x14ac:dyDescent="0.2">
      <c r="N143" s="727"/>
      <c r="O143" s="727"/>
    </row>
    <row r="144" spans="14:15" x14ac:dyDescent="0.2">
      <c r="N144" s="727"/>
      <c r="O144" s="727"/>
    </row>
    <row r="145" spans="14:15" x14ac:dyDescent="0.2">
      <c r="N145" s="727"/>
      <c r="O145" s="727"/>
    </row>
    <row r="146" spans="14:15" x14ac:dyDescent="0.2">
      <c r="N146" s="727"/>
      <c r="O146" s="727"/>
    </row>
    <row r="147" spans="14:15" x14ac:dyDescent="0.2">
      <c r="N147" s="727"/>
      <c r="O147" s="727"/>
    </row>
    <row r="148" spans="14:15" x14ac:dyDescent="0.2">
      <c r="N148" s="727"/>
      <c r="O148" s="727"/>
    </row>
    <row r="149" spans="14:15" x14ac:dyDescent="0.2">
      <c r="N149" s="727"/>
      <c r="O149" s="727"/>
    </row>
    <row r="150" spans="14:15" x14ac:dyDescent="0.2">
      <c r="N150" s="727"/>
      <c r="O150" s="727"/>
    </row>
    <row r="151" spans="14:15" x14ac:dyDescent="0.2">
      <c r="N151" s="727"/>
      <c r="O151" s="727"/>
    </row>
    <row r="152" spans="14:15" x14ac:dyDescent="0.2">
      <c r="N152" s="727"/>
      <c r="O152" s="727"/>
    </row>
    <row r="153" spans="14:15" x14ac:dyDescent="0.2">
      <c r="N153" s="727"/>
      <c r="O153" s="727"/>
    </row>
    <row r="154" spans="14:15" x14ac:dyDescent="0.2">
      <c r="N154" s="727"/>
      <c r="O154" s="727"/>
    </row>
    <row r="155" spans="14:15" x14ac:dyDescent="0.2">
      <c r="N155" s="727"/>
      <c r="O155" s="727"/>
    </row>
    <row r="156" spans="14:15" x14ac:dyDescent="0.2">
      <c r="N156" s="727"/>
      <c r="O156" s="727"/>
    </row>
    <row r="157" spans="14:15" x14ac:dyDescent="0.2">
      <c r="N157" s="727"/>
      <c r="O157" s="727"/>
    </row>
    <row r="158" spans="14:15" x14ac:dyDescent="0.2">
      <c r="N158" s="727"/>
      <c r="O158" s="727"/>
    </row>
    <row r="159" spans="14:15" x14ac:dyDescent="0.2">
      <c r="N159" s="727"/>
      <c r="O159" s="727"/>
    </row>
    <row r="160" spans="14:15" x14ac:dyDescent="0.2">
      <c r="N160" s="727"/>
      <c r="O160" s="727"/>
    </row>
    <row r="161" spans="14:15" x14ac:dyDescent="0.2">
      <c r="N161" s="727"/>
      <c r="O161" s="727"/>
    </row>
    <row r="162" spans="14:15" x14ac:dyDescent="0.2">
      <c r="N162" s="727"/>
      <c r="O162" s="727"/>
    </row>
    <row r="163" spans="14:15" x14ac:dyDescent="0.2">
      <c r="N163" s="727"/>
      <c r="O163" s="727"/>
    </row>
    <row r="164" spans="14:15" x14ac:dyDescent="0.2">
      <c r="N164" s="727"/>
      <c r="O164" s="727"/>
    </row>
    <row r="165" spans="14:15" x14ac:dyDescent="0.2">
      <c r="N165" s="727"/>
      <c r="O165" s="727"/>
    </row>
    <row r="166" spans="14:15" x14ac:dyDescent="0.2">
      <c r="N166" s="727"/>
      <c r="O166" s="727"/>
    </row>
    <row r="167" spans="14:15" x14ac:dyDescent="0.2">
      <c r="N167" s="727"/>
      <c r="O167" s="727"/>
    </row>
    <row r="168" spans="14:15" x14ac:dyDescent="0.2">
      <c r="N168" s="727"/>
      <c r="O168" s="727"/>
    </row>
    <row r="169" spans="14:15" x14ac:dyDescent="0.2">
      <c r="N169" s="727"/>
      <c r="O169" s="727"/>
    </row>
  </sheetData>
  <sheetProtection sheet="1" objects="1" scenarios="1"/>
  <sortState ref="N7:O42">
    <sortCondition ref="O7:O42"/>
  </sortState>
  <mergeCells count="7">
    <mergeCell ref="N2:O2"/>
    <mergeCell ref="A3:C4"/>
    <mergeCell ref="A1:E1"/>
    <mergeCell ref="F1:G1"/>
    <mergeCell ref="A2:E2"/>
    <mergeCell ref="K2:L2"/>
    <mergeCell ref="N4:O5"/>
  </mergeCells>
  <dataValidations count="2">
    <dataValidation type="list" allowBlank="1" showInputMessage="1" showErrorMessage="1" sqref="WVA983044:WVG983044 IO4:IU4 SK4:SQ4 ACG4:ACM4 AMC4:AMI4 AVY4:AWE4 BFU4:BGA4 BPQ4:BPW4 BZM4:BZS4 CJI4:CJO4 CTE4:CTK4 DDA4:DDG4 DMW4:DNC4 DWS4:DWY4 EGO4:EGU4 EQK4:EQQ4 FAG4:FAM4 FKC4:FKI4 FTY4:FUE4 GDU4:GEA4 GNQ4:GNW4 GXM4:GXS4 HHI4:HHO4 HRE4:HRK4 IBA4:IBG4 IKW4:ILC4 IUS4:IUY4 JEO4:JEU4 JOK4:JOQ4 JYG4:JYM4 KIC4:KII4 KRY4:KSE4 LBU4:LCA4 LLQ4:LLW4 LVM4:LVS4 MFI4:MFO4 MPE4:MPK4 MZA4:MZG4 NIW4:NJC4 NSS4:NSY4 OCO4:OCU4 OMK4:OMQ4 OWG4:OWM4 PGC4:PGI4 PPY4:PQE4 PZU4:QAA4 QJQ4:QJW4 QTM4:QTS4 RDI4:RDO4 RNE4:RNK4 RXA4:RXG4 SGW4:SHC4 SQS4:SQY4 TAO4:TAU4 TKK4:TKQ4 TUG4:TUM4 UEC4:UEI4 UNY4:UOE4 UXU4:UYA4 VHQ4:VHW4 VRM4:VRS4 WBI4:WBO4 WLE4:WLK4 WVA4:WVG4 E65540:K65540 IO65540:IU65540 SK65540:SQ65540 ACG65540:ACM65540 AMC65540:AMI65540 AVY65540:AWE65540 BFU65540:BGA65540 BPQ65540:BPW65540 BZM65540:BZS65540 CJI65540:CJO65540 CTE65540:CTK65540 DDA65540:DDG65540 DMW65540:DNC65540 DWS65540:DWY65540 EGO65540:EGU65540 EQK65540:EQQ65540 FAG65540:FAM65540 FKC65540:FKI65540 FTY65540:FUE65540 GDU65540:GEA65540 GNQ65540:GNW65540 GXM65540:GXS65540 HHI65540:HHO65540 HRE65540:HRK65540 IBA65540:IBG65540 IKW65540:ILC65540 IUS65540:IUY65540 JEO65540:JEU65540 JOK65540:JOQ65540 JYG65540:JYM65540 KIC65540:KII65540 KRY65540:KSE65540 LBU65540:LCA65540 LLQ65540:LLW65540 LVM65540:LVS65540 MFI65540:MFO65540 MPE65540:MPK65540 MZA65540:MZG65540 NIW65540:NJC65540 NSS65540:NSY65540 OCO65540:OCU65540 OMK65540:OMQ65540 OWG65540:OWM65540 PGC65540:PGI65540 PPY65540:PQE65540 PZU65540:QAA65540 QJQ65540:QJW65540 QTM65540:QTS65540 RDI65540:RDO65540 RNE65540:RNK65540 RXA65540:RXG65540 SGW65540:SHC65540 SQS65540:SQY65540 TAO65540:TAU65540 TKK65540:TKQ65540 TUG65540:TUM65540 UEC65540:UEI65540 UNY65540:UOE65540 UXU65540:UYA65540 VHQ65540:VHW65540 VRM65540:VRS65540 WBI65540:WBO65540 WLE65540:WLK65540 WVA65540:WVG65540 E131076:K131076 IO131076:IU131076 SK131076:SQ131076 ACG131076:ACM131076 AMC131076:AMI131076 AVY131076:AWE131076 BFU131076:BGA131076 BPQ131076:BPW131076 BZM131076:BZS131076 CJI131076:CJO131076 CTE131076:CTK131076 DDA131076:DDG131076 DMW131076:DNC131076 DWS131076:DWY131076 EGO131076:EGU131076 EQK131076:EQQ131076 FAG131076:FAM131076 FKC131076:FKI131076 FTY131076:FUE131076 GDU131076:GEA131076 GNQ131076:GNW131076 GXM131076:GXS131076 HHI131076:HHO131076 HRE131076:HRK131076 IBA131076:IBG131076 IKW131076:ILC131076 IUS131076:IUY131076 JEO131076:JEU131076 JOK131076:JOQ131076 JYG131076:JYM131076 KIC131076:KII131076 KRY131076:KSE131076 LBU131076:LCA131076 LLQ131076:LLW131076 LVM131076:LVS131076 MFI131076:MFO131076 MPE131076:MPK131076 MZA131076:MZG131076 NIW131076:NJC131076 NSS131076:NSY131076 OCO131076:OCU131076 OMK131076:OMQ131076 OWG131076:OWM131076 PGC131076:PGI131076 PPY131076:PQE131076 PZU131076:QAA131076 QJQ131076:QJW131076 QTM131076:QTS131076 RDI131076:RDO131076 RNE131076:RNK131076 RXA131076:RXG131076 SGW131076:SHC131076 SQS131076:SQY131076 TAO131076:TAU131076 TKK131076:TKQ131076 TUG131076:TUM131076 UEC131076:UEI131076 UNY131076:UOE131076 UXU131076:UYA131076 VHQ131076:VHW131076 VRM131076:VRS131076 WBI131076:WBO131076 WLE131076:WLK131076 WVA131076:WVG131076 E196612:K196612 IO196612:IU196612 SK196612:SQ196612 ACG196612:ACM196612 AMC196612:AMI196612 AVY196612:AWE196612 BFU196612:BGA196612 BPQ196612:BPW196612 BZM196612:BZS196612 CJI196612:CJO196612 CTE196612:CTK196612 DDA196612:DDG196612 DMW196612:DNC196612 DWS196612:DWY196612 EGO196612:EGU196612 EQK196612:EQQ196612 FAG196612:FAM196612 FKC196612:FKI196612 FTY196612:FUE196612 GDU196612:GEA196612 GNQ196612:GNW196612 GXM196612:GXS196612 HHI196612:HHO196612 HRE196612:HRK196612 IBA196612:IBG196612 IKW196612:ILC196612 IUS196612:IUY196612 JEO196612:JEU196612 JOK196612:JOQ196612 JYG196612:JYM196612 KIC196612:KII196612 KRY196612:KSE196612 LBU196612:LCA196612 LLQ196612:LLW196612 LVM196612:LVS196612 MFI196612:MFO196612 MPE196612:MPK196612 MZA196612:MZG196612 NIW196612:NJC196612 NSS196612:NSY196612 OCO196612:OCU196612 OMK196612:OMQ196612 OWG196612:OWM196612 PGC196612:PGI196612 PPY196612:PQE196612 PZU196612:QAA196612 QJQ196612:QJW196612 QTM196612:QTS196612 RDI196612:RDO196612 RNE196612:RNK196612 RXA196612:RXG196612 SGW196612:SHC196612 SQS196612:SQY196612 TAO196612:TAU196612 TKK196612:TKQ196612 TUG196612:TUM196612 UEC196612:UEI196612 UNY196612:UOE196612 UXU196612:UYA196612 VHQ196612:VHW196612 VRM196612:VRS196612 WBI196612:WBO196612 WLE196612:WLK196612 WVA196612:WVG196612 E262148:K262148 IO262148:IU262148 SK262148:SQ262148 ACG262148:ACM262148 AMC262148:AMI262148 AVY262148:AWE262148 BFU262148:BGA262148 BPQ262148:BPW262148 BZM262148:BZS262148 CJI262148:CJO262148 CTE262148:CTK262148 DDA262148:DDG262148 DMW262148:DNC262148 DWS262148:DWY262148 EGO262148:EGU262148 EQK262148:EQQ262148 FAG262148:FAM262148 FKC262148:FKI262148 FTY262148:FUE262148 GDU262148:GEA262148 GNQ262148:GNW262148 GXM262148:GXS262148 HHI262148:HHO262148 HRE262148:HRK262148 IBA262148:IBG262148 IKW262148:ILC262148 IUS262148:IUY262148 JEO262148:JEU262148 JOK262148:JOQ262148 JYG262148:JYM262148 KIC262148:KII262148 KRY262148:KSE262148 LBU262148:LCA262148 LLQ262148:LLW262148 LVM262148:LVS262148 MFI262148:MFO262148 MPE262148:MPK262148 MZA262148:MZG262148 NIW262148:NJC262148 NSS262148:NSY262148 OCO262148:OCU262148 OMK262148:OMQ262148 OWG262148:OWM262148 PGC262148:PGI262148 PPY262148:PQE262148 PZU262148:QAA262148 QJQ262148:QJW262148 QTM262148:QTS262148 RDI262148:RDO262148 RNE262148:RNK262148 RXA262148:RXG262148 SGW262148:SHC262148 SQS262148:SQY262148 TAO262148:TAU262148 TKK262148:TKQ262148 TUG262148:TUM262148 UEC262148:UEI262148 UNY262148:UOE262148 UXU262148:UYA262148 VHQ262148:VHW262148 VRM262148:VRS262148 WBI262148:WBO262148 WLE262148:WLK262148 WVA262148:WVG262148 E327684:K327684 IO327684:IU327684 SK327684:SQ327684 ACG327684:ACM327684 AMC327684:AMI327684 AVY327684:AWE327684 BFU327684:BGA327684 BPQ327684:BPW327684 BZM327684:BZS327684 CJI327684:CJO327684 CTE327684:CTK327684 DDA327684:DDG327684 DMW327684:DNC327684 DWS327684:DWY327684 EGO327684:EGU327684 EQK327684:EQQ327684 FAG327684:FAM327684 FKC327684:FKI327684 FTY327684:FUE327684 GDU327684:GEA327684 GNQ327684:GNW327684 GXM327684:GXS327684 HHI327684:HHO327684 HRE327684:HRK327684 IBA327684:IBG327684 IKW327684:ILC327684 IUS327684:IUY327684 JEO327684:JEU327684 JOK327684:JOQ327684 JYG327684:JYM327684 KIC327684:KII327684 KRY327684:KSE327684 LBU327684:LCA327684 LLQ327684:LLW327684 LVM327684:LVS327684 MFI327684:MFO327684 MPE327684:MPK327684 MZA327684:MZG327684 NIW327684:NJC327684 NSS327684:NSY327684 OCO327684:OCU327684 OMK327684:OMQ327684 OWG327684:OWM327684 PGC327684:PGI327684 PPY327684:PQE327684 PZU327684:QAA327684 QJQ327684:QJW327684 QTM327684:QTS327684 RDI327684:RDO327684 RNE327684:RNK327684 RXA327684:RXG327684 SGW327684:SHC327684 SQS327684:SQY327684 TAO327684:TAU327684 TKK327684:TKQ327684 TUG327684:TUM327684 UEC327684:UEI327684 UNY327684:UOE327684 UXU327684:UYA327684 VHQ327684:VHW327684 VRM327684:VRS327684 WBI327684:WBO327684 WLE327684:WLK327684 WVA327684:WVG327684 E393220:K393220 IO393220:IU393220 SK393220:SQ393220 ACG393220:ACM393220 AMC393220:AMI393220 AVY393220:AWE393220 BFU393220:BGA393220 BPQ393220:BPW393220 BZM393220:BZS393220 CJI393220:CJO393220 CTE393220:CTK393220 DDA393220:DDG393220 DMW393220:DNC393220 DWS393220:DWY393220 EGO393220:EGU393220 EQK393220:EQQ393220 FAG393220:FAM393220 FKC393220:FKI393220 FTY393220:FUE393220 GDU393220:GEA393220 GNQ393220:GNW393220 GXM393220:GXS393220 HHI393220:HHO393220 HRE393220:HRK393220 IBA393220:IBG393220 IKW393220:ILC393220 IUS393220:IUY393220 JEO393220:JEU393220 JOK393220:JOQ393220 JYG393220:JYM393220 KIC393220:KII393220 KRY393220:KSE393220 LBU393220:LCA393220 LLQ393220:LLW393220 LVM393220:LVS393220 MFI393220:MFO393220 MPE393220:MPK393220 MZA393220:MZG393220 NIW393220:NJC393220 NSS393220:NSY393220 OCO393220:OCU393220 OMK393220:OMQ393220 OWG393220:OWM393220 PGC393220:PGI393220 PPY393220:PQE393220 PZU393220:QAA393220 QJQ393220:QJW393220 QTM393220:QTS393220 RDI393220:RDO393220 RNE393220:RNK393220 RXA393220:RXG393220 SGW393220:SHC393220 SQS393220:SQY393220 TAO393220:TAU393220 TKK393220:TKQ393220 TUG393220:TUM393220 UEC393220:UEI393220 UNY393220:UOE393220 UXU393220:UYA393220 VHQ393220:VHW393220 VRM393220:VRS393220 WBI393220:WBO393220 WLE393220:WLK393220 WVA393220:WVG393220 E458756:K458756 IO458756:IU458756 SK458756:SQ458756 ACG458756:ACM458756 AMC458756:AMI458756 AVY458756:AWE458756 BFU458756:BGA458756 BPQ458756:BPW458756 BZM458756:BZS458756 CJI458756:CJO458756 CTE458756:CTK458756 DDA458756:DDG458756 DMW458756:DNC458756 DWS458756:DWY458756 EGO458756:EGU458756 EQK458756:EQQ458756 FAG458756:FAM458756 FKC458756:FKI458756 FTY458756:FUE458756 GDU458756:GEA458756 GNQ458756:GNW458756 GXM458756:GXS458756 HHI458756:HHO458756 HRE458756:HRK458756 IBA458756:IBG458756 IKW458756:ILC458756 IUS458756:IUY458756 JEO458756:JEU458756 JOK458756:JOQ458756 JYG458756:JYM458756 KIC458756:KII458756 KRY458756:KSE458756 LBU458756:LCA458756 LLQ458756:LLW458756 LVM458756:LVS458756 MFI458756:MFO458756 MPE458756:MPK458756 MZA458756:MZG458756 NIW458756:NJC458756 NSS458756:NSY458756 OCO458756:OCU458756 OMK458756:OMQ458756 OWG458756:OWM458756 PGC458756:PGI458756 PPY458756:PQE458756 PZU458756:QAA458756 QJQ458756:QJW458756 QTM458756:QTS458756 RDI458756:RDO458756 RNE458756:RNK458756 RXA458756:RXG458756 SGW458756:SHC458756 SQS458756:SQY458756 TAO458756:TAU458756 TKK458756:TKQ458756 TUG458756:TUM458756 UEC458756:UEI458756 UNY458756:UOE458756 UXU458756:UYA458756 VHQ458756:VHW458756 VRM458756:VRS458756 WBI458756:WBO458756 WLE458756:WLK458756 WVA458756:WVG458756 E524292:K524292 IO524292:IU524292 SK524292:SQ524292 ACG524292:ACM524292 AMC524292:AMI524292 AVY524292:AWE524292 BFU524292:BGA524292 BPQ524292:BPW524292 BZM524292:BZS524292 CJI524292:CJO524292 CTE524292:CTK524292 DDA524292:DDG524292 DMW524292:DNC524292 DWS524292:DWY524292 EGO524292:EGU524292 EQK524292:EQQ524292 FAG524292:FAM524292 FKC524292:FKI524292 FTY524292:FUE524292 GDU524292:GEA524292 GNQ524292:GNW524292 GXM524292:GXS524292 HHI524292:HHO524292 HRE524292:HRK524292 IBA524292:IBG524292 IKW524292:ILC524292 IUS524292:IUY524292 JEO524292:JEU524292 JOK524292:JOQ524292 JYG524292:JYM524292 KIC524292:KII524292 KRY524292:KSE524292 LBU524292:LCA524292 LLQ524292:LLW524292 LVM524292:LVS524292 MFI524292:MFO524292 MPE524292:MPK524292 MZA524292:MZG524292 NIW524292:NJC524292 NSS524292:NSY524292 OCO524292:OCU524292 OMK524292:OMQ524292 OWG524292:OWM524292 PGC524292:PGI524292 PPY524292:PQE524292 PZU524292:QAA524292 QJQ524292:QJW524292 QTM524292:QTS524292 RDI524292:RDO524292 RNE524292:RNK524292 RXA524292:RXG524292 SGW524292:SHC524292 SQS524292:SQY524292 TAO524292:TAU524292 TKK524292:TKQ524292 TUG524292:TUM524292 UEC524292:UEI524292 UNY524292:UOE524292 UXU524292:UYA524292 VHQ524292:VHW524292 VRM524292:VRS524292 WBI524292:WBO524292 WLE524292:WLK524292 WVA524292:WVG524292 E589828:K589828 IO589828:IU589828 SK589828:SQ589828 ACG589828:ACM589828 AMC589828:AMI589828 AVY589828:AWE589828 BFU589828:BGA589828 BPQ589828:BPW589828 BZM589828:BZS589828 CJI589828:CJO589828 CTE589828:CTK589828 DDA589828:DDG589828 DMW589828:DNC589828 DWS589828:DWY589828 EGO589828:EGU589828 EQK589828:EQQ589828 FAG589828:FAM589828 FKC589828:FKI589828 FTY589828:FUE589828 GDU589828:GEA589828 GNQ589828:GNW589828 GXM589828:GXS589828 HHI589828:HHO589828 HRE589828:HRK589828 IBA589828:IBG589828 IKW589828:ILC589828 IUS589828:IUY589828 JEO589828:JEU589828 JOK589828:JOQ589828 JYG589828:JYM589828 KIC589828:KII589828 KRY589828:KSE589828 LBU589828:LCA589828 LLQ589828:LLW589828 LVM589828:LVS589828 MFI589828:MFO589828 MPE589828:MPK589828 MZA589828:MZG589828 NIW589828:NJC589828 NSS589828:NSY589828 OCO589828:OCU589828 OMK589828:OMQ589828 OWG589828:OWM589828 PGC589828:PGI589828 PPY589828:PQE589828 PZU589828:QAA589828 QJQ589828:QJW589828 QTM589828:QTS589828 RDI589828:RDO589828 RNE589828:RNK589828 RXA589828:RXG589828 SGW589828:SHC589828 SQS589828:SQY589828 TAO589828:TAU589828 TKK589828:TKQ589828 TUG589828:TUM589828 UEC589828:UEI589828 UNY589828:UOE589828 UXU589828:UYA589828 VHQ589828:VHW589828 VRM589828:VRS589828 WBI589828:WBO589828 WLE589828:WLK589828 WVA589828:WVG589828 E655364:K655364 IO655364:IU655364 SK655364:SQ655364 ACG655364:ACM655364 AMC655364:AMI655364 AVY655364:AWE655364 BFU655364:BGA655364 BPQ655364:BPW655364 BZM655364:BZS655364 CJI655364:CJO655364 CTE655364:CTK655364 DDA655364:DDG655364 DMW655364:DNC655364 DWS655364:DWY655364 EGO655364:EGU655364 EQK655364:EQQ655364 FAG655364:FAM655364 FKC655364:FKI655364 FTY655364:FUE655364 GDU655364:GEA655364 GNQ655364:GNW655364 GXM655364:GXS655364 HHI655364:HHO655364 HRE655364:HRK655364 IBA655364:IBG655364 IKW655364:ILC655364 IUS655364:IUY655364 JEO655364:JEU655364 JOK655364:JOQ655364 JYG655364:JYM655364 KIC655364:KII655364 KRY655364:KSE655364 LBU655364:LCA655364 LLQ655364:LLW655364 LVM655364:LVS655364 MFI655364:MFO655364 MPE655364:MPK655364 MZA655364:MZG655364 NIW655364:NJC655364 NSS655364:NSY655364 OCO655364:OCU655364 OMK655364:OMQ655364 OWG655364:OWM655364 PGC655364:PGI655364 PPY655364:PQE655364 PZU655364:QAA655364 QJQ655364:QJW655364 QTM655364:QTS655364 RDI655364:RDO655364 RNE655364:RNK655364 RXA655364:RXG655364 SGW655364:SHC655364 SQS655364:SQY655364 TAO655364:TAU655364 TKK655364:TKQ655364 TUG655364:TUM655364 UEC655364:UEI655364 UNY655364:UOE655364 UXU655364:UYA655364 VHQ655364:VHW655364 VRM655364:VRS655364 WBI655364:WBO655364 WLE655364:WLK655364 WVA655364:WVG655364 E720900:K720900 IO720900:IU720900 SK720900:SQ720900 ACG720900:ACM720900 AMC720900:AMI720900 AVY720900:AWE720900 BFU720900:BGA720900 BPQ720900:BPW720900 BZM720900:BZS720900 CJI720900:CJO720900 CTE720900:CTK720900 DDA720900:DDG720900 DMW720900:DNC720900 DWS720900:DWY720900 EGO720900:EGU720900 EQK720900:EQQ720900 FAG720900:FAM720900 FKC720900:FKI720900 FTY720900:FUE720900 GDU720900:GEA720900 GNQ720900:GNW720900 GXM720900:GXS720900 HHI720900:HHO720900 HRE720900:HRK720900 IBA720900:IBG720900 IKW720900:ILC720900 IUS720900:IUY720900 JEO720900:JEU720900 JOK720900:JOQ720900 JYG720900:JYM720900 KIC720900:KII720900 KRY720900:KSE720900 LBU720900:LCA720900 LLQ720900:LLW720900 LVM720900:LVS720900 MFI720900:MFO720900 MPE720900:MPK720900 MZA720900:MZG720900 NIW720900:NJC720900 NSS720900:NSY720900 OCO720900:OCU720900 OMK720900:OMQ720900 OWG720900:OWM720900 PGC720900:PGI720900 PPY720900:PQE720900 PZU720900:QAA720900 QJQ720900:QJW720900 QTM720900:QTS720900 RDI720900:RDO720900 RNE720900:RNK720900 RXA720900:RXG720900 SGW720900:SHC720900 SQS720900:SQY720900 TAO720900:TAU720900 TKK720900:TKQ720900 TUG720900:TUM720900 UEC720900:UEI720900 UNY720900:UOE720900 UXU720900:UYA720900 VHQ720900:VHW720900 VRM720900:VRS720900 WBI720900:WBO720900 WLE720900:WLK720900 WVA720900:WVG720900 E786436:K786436 IO786436:IU786436 SK786436:SQ786436 ACG786436:ACM786436 AMC786436:AMI786436 AVY786436:AWE786436 BFU786436:BGA786436 BPQ786436:BPW786436 BZM786436:BZS786436 CJI786436:CJO786436 CTE786436:CTK786436 DDA786436:DDG786436 DMW786436:DNC786436 DWS786436:DWY786436 EGO786436:EGU786436 EQK786436:EQQ786436 FAG786436:FAM786436 FKC786436:FKI786436 FTY786436:FUE786436 GDU786436:GEA786436 GNQ786436:GNW786436 GXM786436:GXS786436 HHI786436:HHO786436 HRE786436:HRK786436 IBA786436:IBG786436 IKW786436:ILC786436 IUS786436:IUY786436 JEO786436:JEU786436 JOK786436:JOQ786436 JYG786436:JYM786436 KIC786436:KII786436 KRY786436:KSE786436 LBU786436:LCA786436 LLQ786436:LLW786436 LVM786436:LVS786436 MFI786436:MFO786436 MPE786436:MPK786436 MZA786436:MZG786436 NIW786436:NJC786436 NSS786436:NSY786436 OCO786436:OCU786436 OMK786436:OMQ786436 OWG786436:OWM786436 PGC786436:PGI786436 PPY786436:PQE786436 PZU786436:QAA786436 QJQ786436:QJW786436 QTM786436:QTS786436 RDI786436:RDO786436 RNE786436:RNK786436 RXA786436:RXG786436 SGW786436:SHC786436 SQS786436:SQY786436 TAO786436:TAU786436 TKK786436:TKQ786436 TUG786436:TUM786436 UEC786436:UEI786436 UNY786436:UOE786436 UXU786436:UYA786436 VHQ786436:VHW786436 VRM786436:VRS786436 WBI786436:WBO786436 WLE786436:WLK786436 WVA786436:WVG786436 E851972:K851972 IO851972:IU851972 SK851972:SQ851972 ACG851972:ACM851972 AMC851972:AMI851972 AVY851972:AWE851972 BFU851972:BGA851972 BPQ851972:BPW851972 BZM851972:BZS851972 CJI851972:CJO851972 CTE851972:CTK851972 DDA851972:DDG851972 DMW851972:DNC851972 DWS851972:DWY851972 EGO851972:EGU851972 EQK851972:EQQ851972 FAG851972:FAM851972 FKC851972:FKI851972 FTY851972:FUE851972 GDU851972:GEA851972 GNQ851972:GNW851972 GXM851972:GXS851972 HHI851972:HHO851972 HRE851972:HRK851972 IBA851972:IBG851972 IKW851972:ILC851972 IUS851972:IUY851972 JEO851972:JEU851972 JOK851972:JOQ851972 JYG851972:JYM851972 KIC851972:KII851972 KRY851972:KSE851972 LBU851972:LCA851972 LLQ851972:LLW851972 LVM851972:LVS851972 MFI851972:MFO851972 MPE851972:MPK851972 MZA851972:MZG851972 NIW851972:NJC851972 NSS851972:NSY851972 OCO851972:OCU851972 OMK851972:OMQ851972 OWG851972:OWM851972 PGC851972:PGI851972 PPY851972:PQE851972 PZU851972:QAA851972 QJQ851972:QJW851972 QTM851972:QTS851972 RDI851972:RDO851972 RNE851972:RNK851972 RXA851972:RXG851972 SGW851972:SHC851972 SQS851972:SQY851972 TAO851972:TAU851972 TKK851972:TKQ851972 TUG851972:TUM851972 UEC851972:UEI851972 UNY851972:UOE851972 UXU851972:UYA851972 VHQ851972:VHW851972 VRM851972:VRS851972 WBI851972:WBO851972 WLE851972:WLK851972 WVA851972:WVG851972 E917508:K917508 IO917508:IU917508 SK917508:SQ917508 ACG917508:ACM917508 AMC917508:AMI917508 AVY917508:AWE917508 BFU917508:BGA917508 BPQ917508:BPW917508 BZM917508:BZS917508 CJI917508:CJO917508 CTE917508:CTK917508 DDA917508:DDG917508 DMW917508:DNC917508 DWS917508:DWY917508 EGO917508:EGU917508 EQK917508:EQQ917508 FAG917508:FAM917508 FKC917508:FKI917508 FTY917508:FUE917508 GDU917508:GEA917508 GNQ917508:GNW917508 GXM917508:GXS917508 HHI917508:HHO917508 HRE917508:HRK917508 IBA917508:IBG917508 IKW917508:ILC917508 IUS917508:IUY917508 JEO917508:JEU917508 JOK917508:JOQ917508 JYG917508:JYM917508 KIC917508:KII917508 KRY917508:KSE917508 LBU917508:LCA917508 LLQ917508:LLW917508 LVM917508:LVS917508 MFI917508:MFO917508 MPE917508:MPK917508 MZA917508:MZG917508 NIW917508:NJC917508 NSS917508:NSY917508 OCO917508:OCU917508 OMK917508:OMQ917508 OWG917508:OWM917508 PGC917508:PGI917508 PPY917508:PQE917508 PZU917508:QAA917508 QJQ917508:QJW917508 QTM917508:QTS917508 RDI917508:RDO917508 RNE917508:RNK917508 RXA917508:RXG917508 SGW917508:SHC917508 SQS917508:SQY917508 TAO917508:TAU917508 TKK917508:TKQ917508 TUG917508:TUM917508 UEC917508:UEI917508 UNY917508:UOE917508 UXU917508:UYA917508 VHQ917508:VHW917508 VRM917508:VRS917508 WBI917508:WBO917508 WLE917508:WLK917508 WVA917508:WVG917508 E983044:K983044 IO983044:IU983044 SK983044:SQ983044 ACG983044:ACM983044 AMC983044:AMI983044 AVY983044:AWE983044 BFU983044:BGA983044 BPQ983044:BPW983044 BZM983044:BZS983044 CJI983044:CJO983044 CTE983044:CTK983044 DDA983044:DDG983044 DMW983044:DNC983044 DWS983044:DWY983044 EGO983044:EGU983044 EQK983044:EQQ983044 FAG983044:FAM983044 FKC983044:FKI983044 FTY983044:FUE983044 GDU983044:GEA983044 GNQ983044:GNW983044 GXM983044:GXS983044 HHI983044:HHO983044 HRE983044:HRK983044 IBA983044:IBG983044 IKW983044:ILC983044 IUS983044:IUY983044 JEO983044:JEU983044 JOK983044:JOQ983044 JYG983044:JYM983044 KIC983044:KII983044 KRY983044:KSE983044 LBU983044:LCA983044 LLQ983044:LLW983044 LVM983044:LVS983044 MFI983044:MFO983044 MPE983044:MPK983044 MZA983044:MZG983044 NIW983044:NJC983044 NSS983044:NSY983044 OCO983044:OCU983044 OMK983044:OMQ983044 OWG983044:OWM983044 PGC983044:PGI983044 PPY983044:PQE983044 PZU983044:QAA983044 QJQ983044:QJW983044 QTM983044:QTS983044 RDI983044:RDO983044 RNE983044:RNK983044 RXA983044:RXG983044 SGW983044:SHC983044 SQS983044:SQY983044 TAO983044:TAU983044 TKK983044:TKQ983044 TUG983044:TUM983044 UEC983044:UEI983044 UNY983044:UOE983044 UXU983044:UYA983044 VHQ983044:VHW983044 VRM983044:VRS983044 WBI983044:WBO983044 WLE983044:WLK983044">
      <formula1>$N$7:$N$46</formula1>
    </dataValidation>
    <dataValidation type="list" allowBlank="1" showInputMessage="1" showErrorMessage="1" sqref="E4:M4">
      <formula1>$O$7:$O$42</formula1>
    </dataValidation>
  </dataValidations>
  <pageMargins left="0.47244094488188981" right="0.23622047244094491" top="0.27559055118110237" bottom="0.31496062992125984" header="1.3385826771653544" footer="0.15748031496062992"/>
  <pageSetup paperSize="9"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ADE23E5E-B080-420B-A22D-1CABB7DA25F4}">
            <xm:f>IF(AND($C7&lt;&gt;PM!$AG$17,ISTEXT($C$4)),1,0)</xm:f>
            <x14:dxf>
              <font>
                <color theme="0"/>
              </font>
            </x14:dxf>
          </x14:cfRule>
          <xm:sqref>D7:D74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P169"/>
  <sheetViews>
    <sheetView zoomScale="125" zoomScaleNormal="125" workbookViewId="0">
      <selection activeCell="J8" sqref="J8"/>
    </sheetView>
  </sheetViews>
  <sheetFormatPr defaultRowHeight="12.75" x14ac:dyDescent="0.2"/>
  <cols>
    <col min="1" max="1" width="3.7109375" style="680" customWidth="1"/>
    <col min="2" max="2" width="2.42578125" style="680" customWidth="1"/>
    <col min="3" max="3" width="2.85546875" style="680" customWidth="1"/>
    <col min="4" max="4" width="2.85546875" style="680" hidden="1" customWidth="1"/>
    <col min="5" max="13" width="7.7109375" style="680" customWidth="1"/>
    <col min="14" max="14" width="6.5703125" style="680" customWidth="1"/>
    <col min="15" max="15" width="10.85546875" style="680" customWidth="1"/>
    <col min="16" max="16" width="9.140625" style="680" hidden="1" customWidth="1"/>
    <col min="17" max="18" width="9.140625" style="680" customWidth="1"/>
    <col min="19" max="245" width="9.140625" style="680"/>
    <col min="246" max="246" width="3.7109375" style="680" customWidth="1"/>
    <col min="247" max="247" width="2.42578125" style="680" customWidth="1"/>
    <col min="248" max="248" width="2.85546875" style="680" customWidth="1"/>
    <col min="249" max="257" width="7.7109375" style="680" customWidth="1"/>
    <col min="258" max="258" width="6.5703125" style="680" customWidth="1"/>
    <col min="259" max="259" width="10.85546875" style="680" customWidth="1"/>
    <col min="260" max="260" width="0" style="680" hidden="1" customWidth="1"/>
    <col min="261" max="501" width="9.140625" style="680"/>
    <col min="502" max="502" width="3.7109375" style="680" customWidth="1"/>
    <col min="503" max="503" width="2.42578125" style="680" customWidth="1"/>
    <col min="504" max="504" width="2.85546875" style="680" customWidth="1"/>
    <col min="505" max="513" width="7.7109375" style="680" customWidth="1"/>
    <col min="514" max="514" width="6.5703125" style="680" customWidth="1"/>
    <col min="515" max="515" width="10.85546875" style="680" customWidth="1"/>
    <col min="516" max="516" width="0" style="680" hidden="1" customWidth="1"/>
    <col min="517" max="757" width="9.140625" style="680"/>
    <col min="758" max="758" width="3.7109375" style="680" customWidth="1"/>
    <col min="759" max="759" width="2.42578125" style="680" customWidth="1"/>
    <col min="760" max="760" width="2.85546875" style="680" customWidth="1"/>
    <col min="761" max="769" width="7.7109375" style="680" customWidth="1"/>
    <col min="770" max="770" width="6.5703125" style="680" customWidth="1"/>
    <col min="771" max="771" width="10.85546875" style="680" customWidth="1"/>
    <col min="772" max="772" width="0" style="680" hidden="1" customWidth="1"/>
    <col min="773" max="1013" width="9.140625" style="680"/>
    <col min="1014" max="1014" width="3.7109375" style="680" customWidth="1"/>
    <col min="1015" max="1015" width="2.42578125" style="680" customWidth="1"/>
    <col min="1016" max="1016" width="2.85546875" style="680" customWidth="1"/>
    <col min="1017" max="1025" width="7.7109375" style="680" customWidth="1"/>
    <col min="1026" max="1026" width="6.5703125" style="680" customWidth="1"/>
    <col min="1027" max="1027" width="10.85546875" style="680" customWidth="1"/>
    <col min="1028" max="1028" width="0" style="680" hidden="1" customWidth="1"/>
    <col min="1029" max="1269" width="9.140625" style="680"/>
    <col min="1270" max="1270" width="3.7109375" style="680" customWidth="1"/>
    <col min="1271" max="1271" width="2.42578125" style="680" customWidth="1"/>
    <col min="1272" max="1272" width="2.85546875" style="680" customWidth="1"/>
    <col min="1273" max="1281" width="7.7109375" style="680" customWidth="1"/>
    <col min="1282" max="1282" width="6.5703125" style="680" customWidth="1"/>
    <col min="1283" max="1283" width="10.85546875" style="680" customWidth="1"/>
    <col min="1284" max="1284" width="0" style="680" hidden="1" customWidth="1"/>
    <col min="1285" max="1525" width="9.140625" style="680"/>
    <col min="1526" max="1526" width="3.7109375" style="680" customWidth="1"/>
    <col min="1527" max="1527" width="2.42578125" style="680" customWidth="1"/>
    <col min="1528" max="1528" width="2.85546875" style="680" customWidth="1"/>
    <col min="1529" max="1537" width="7.7109375" style="680" customWidth="1"/>
    <col min="1538" max="1538" width="6.5703125" style="680" customWidth="1"/>
    <col min="1539" max="1539" width="10.85546875" style="680" customWidth="1"/>
    <col min="1540" max="1540" width="0" style="680" hidden="1" customWidth="1"/>
    <col min="1541" max="1781" width="9.140625" style="680"/>
    <col min="1782" max="1782" width="3.7109375" style="680" customWidth="1"/>
    <col min="1783" max="1783" width="2.42578125" style="680" customWidth="1"/>
    <col min="1784" max="1784" width="2.85546875" style="680" customWidth="1"/>
    <col min="1785" max="1793" width="7.7109375" style="680" customWidth="1"/>
    <col min="1794" max="1794" width="6.5703125" style="680" customWidth="1"/>
    <col min="1795" max="1795" width="10.85546875" style="680" customWidth="1"/>
    <col min="1796" max="1796" width="0" style="680" hidden="1" customWidth="1"/>
    <col min="1797" max="2037" width="9.140625" style="680"/>
    <col min="2038" max="2038" width="3.7109375" style="680" customWidth="1"/>
    <col min="2039" max="2039" width="2.42578125" style="680" customWidth="1"/>
    <col min="2040" max="2040" width="2.85546875" style="680" customWidth="1"/>
    <col min="2041" max="2049" width="7.7109375" style="680" customWidth="1"/>
    <col min="2050" max="2050" width="6.5703125" style="680" customWidth="1"/>
    <col min="2051" max="2051" width="10.85546875" style="680" customWidth="1"/>
    <col min="2052" max="2052" width="0" style="680" hidden="1" customWidth="1"/>
    <col min="2053" max="2293" width="9.140625" style="680"/>
    <col min="2294" max="2294" width="3.7109375" style="680" customWidth="1"/>
    <col min="2295" max="2295" width="2.42578125" style="680" customWidth="1"/>
    <col min="2296" max="2296" width="2.85546875" style="680" customWidth="1"/>
    <col min="2297" max="2305" width="7.7109375" style="680" customWidth="1"/>
    <col min="2306" max="2306" width="6.5703125" style="680" customWidth="1"/>
    <col min="2307" max="2307" width="10.85546875" style="680" customWidth="1"/>
    <col min="2308" max="2308" width="0" style="680" hidden="1" customWidth="1"/>
    <col min="2309" max="2549" width="9.140625" style="680"/>
    <col min="2550" max="2550" width="3.7109375" style="680" customWidth="1"/>
    <col min="2551" max="2551" width="2.42578125" style="680" customWidth="1"/>
    <col min="2552" max="2552" width="2.85546875" style="680" customWidth="1"/>
    <col min="2553" max="2561" width="7.7109375" style="680" customWidth="1"/>
    <col min="2562" max="2562" width="6.5703125" style="680" customWidth="1"/>
    <col min="2563" max="2563" width="10.85546875" style="680" customWidth="1"/>
    <col min="2564" max="2564" width="0" style="680" hidden="1" customWidth="1"/>
    <col min="2565" max="2805" width="9.140625" style="680"/>
    <col min="2806" max="2806" width="3.7109375" style="680" customWidth="1"/>
    <col min="2807" max="2807" width="2.42578125" style="680" customWidth="1"/>
    <col min="2808" max="2808" width="2.85546875" style="680" customWidth="1"/>
    <col min="2809" max="2817" width="7.7109375" style="680" customWidth="1"/>
    <col min="2818" max="2818" width="6.5703125" style="680" customWidth="1"/>
    <col min="2819" max="2819" width="10.85546875" style="680" customWidth="1"/>
    <col min="2820" max="2820" width="0" style="680" hidden="1" customWidth="1"/>
    <col min="2821" max="3061" width="9.140625" style="680"/>
    <col min="3062" max="3062" width="3.7109375" style="680" customWidth="1"/>
    <col min="3063" max="3063" width="2.42578125" style="680" customWidth="1"/>
    <col min="3064" max="3064" width="2.85546875" style="680" customWidth="1"/>
    <col min="3065" max="3073" width="7.7109375" style="680" customWidth="1"/>
    <col min="3074" max="3074" width="6.5703125" style="680" customWidth="1"/>
    <col min="3075" max="3075" width="10.85546875" style="680" customWidth="1"/>
    <col min="3076" max="3076" width="0" style="680" hidden="1" customWidth="1"/>
    <col min="3077" max="3317" width="9.140625" style="680"/>
    <col min="3318" max="3318" width="3.7109375" style="680" customWidth="1"/>
    <col min="3319" max="3319" width="2.42578125" style="680" customWidth="1"/>
    <col min="3320" max="3320" width="2.85546875" style="680" customWidth="1"/>
    <col min="3321" max="3329" width="7.7109375" style="680" customWidth="1"/>
    <col min="3330" max="3330" width="6.5703125" style="680" customWidth="1"/>
    <col min="3331" max="3331" width="10.85546875" style="680" customWidth="1"/>
    <col min="3332" max="3332" width="0" style="680" hidden="1" customWidth="1"/>
    <col min="3333" max="3573" width="9.140625" style="680"/>
    <col min="3574" max="3574" width="3.7109375" style="680" customWidth="1"/>
    <col min="3575" max="3575" width="2.42578125" style="680" customWidth="1"/>
    <col min="3576" max="3576" width="2.85546875" style="680" customWidth="1"/>
    <col min="3577" max="3585" width="7.7109375" style="680" customWidth="1"/>
    <col min="3586" max="3586" width="6.5703125" style="680" customWidth="1"/>
    <col min="3587" max="3587" width="10.85546875" style="680" customWidth="1"/>
    <col min="3588" max="3588" width="0" style="680" hidden="1" customWidth="1"/>
    <col min="3589" max="3829" width="9.140625" style="680"/>
    <col min="3830" max="3830" width="3.7109375" style="680" customWidth="1"/>
    <col min="3831" max="3831" width="2.42578125" style="680" customWidth="1"/>
    <col min="3832" max="3832" width="2.85546875" style="680" customWidth="1"/>
    <col min="3833" max="3841" width="7.7109375" style="680" customWidth="1"/>
    <col min="3842" max="3842" width="6.5703125" style="680" customWidth="1"/>
    <col min="3843" max="3843" width="10.85546875" style="680" customWidth="1"/>
    <col min="3844" max="3844" width="0" style="680" hidden="1" customWidth="1"/>
    <col min="3845" max="4085" width="9.140625" style="680"/>
    <col min="4086" max="4086" width="3.7109375" style="680" customWidth="1"/>
    <col min="4087" max="4087" width="2.42578125" style="680" customWidth="1"/>
    <col min="4088" max="4088" width="2.85546875" style="680" customWidth="1"/>
    <col min="4089" max="4097" width="7.7109375" style="680" customWidth="1"/>
    <col min="4098" max="4098" width="6.5703125" style="680" customWidth="1"/>
    <col min="4099" max="4099" width="10.85546875" style="680" customWidth="1"/>
    <col min="4100" max="4100" width="0" style="680" hidden="1" customWidth="1"/>
    <col min="4101" max="4341" width="9.140625" style="680"/>
    <col min="4342" max="4342" width="3.7109375" style="680" customWidth="1"/>
    <col min="4343" max="4343" width="2.42578125" style="680" customWidth="1"/>
    <col min="4344" max="4344" width="2.85546875" style="680" customWidth="1"/>
    <col min="4345" max="4353" width="7.7109375" style="680" customWidth="1"/>
    <col min="4354" max="4354" width="6.5703125" style="680" customWidth="1"/>
    <col min="4355" max="4355" width="10.85546875" style="680" customWidth="1"/>
    <col min="4356" max="4356" width="0" style="680" hidden="1" customWidth="1"/>
    <col min="4357" max="4597" width="9.140625" style="680"/>
    <col min="4598" max="4598" width="3.7109375" style="680" customWidth="1"/>
    <col min="4599" max="4599" width="2.42578125" style="680" customWidth="1"/>
    <col min="4600" max="4600" width="2.85546875" style="680" customWidth="1"/>
    <col min="4601" max="4609" width="7.7109375" style="680" customWidth="1"/>
    <col min="4610" max="4610" width="6.5703125" style="680" customWidth="1"/>
    <col min="4611" max="4611" width="10.85546875" style="680" customWidth="1"/>
    <col min="4612" max="4612" width="0" style="680" hidden="1" customWidth="1"/>
    <col min="4613" max="4853" width="9.140625" style="680"/>
    <col min="4854" max="4854" width="3.7109375" style="680" customWidth="1"/>
    <col min="4855" max="4855" width="2.42578125" style="680" customWidth="1"/>
    <col min="4856" max="4856" width="2.85546875" style="680" customWidth="1"/>
    <col min="4857" max="4865" width="7.7109375" style="680" customWidth="1"/>
    <col min="4866" max="4866" width="6.5703125" style="680" customWidth="1"/>
    <col min="4867" max="4867" width="10.85546875" style="680" customWidth="1"/>
    <col min="4868" max="4868" width="0" style="680" hidden="1" customWidth="1"/>
    <col min="4869" max="5109" width="9.140625" style="680"/>
    <col min="5110" max="5110" width="3.7109375" style="680" customWidth="1"/>
    <col min="5111" max="5111" width="2.42578125" style="680" customWidth="1"/>
    <col min="5112" max="5112" width="2.85546875" style="680" customWidth="1"/>
    <col min="5113" max="5121" width="7.7109375" style="680" customWidth="1"/>
    <col min="5122" max="5122" width="6.5703125" style="680" customWidth="1"/>
    <col min="5123" max="5123" width="10.85546875" style="680" customWidth="1"/>
    <col min="5124" max="5124" width="0" style="680" hidden="1" customWidth="1"/>
    <col min="5125" max="5365" width="9.140625" style="680"/>
    <col min="5366" max="5366" width="3.7109375" style="680" customWidth="1"/>
    <col min="5367" max="5367" width="2.42578125" style="680" customWidth="1"/>
    <col min="5368" max="5368" width="2.85546875" style="680" customWidth="1"/>
    <col min="5369" max="5377" width="7.7109375" style="680" customWidth="1"/>
    <col min="5378" max="5378" width="6.5703125" style="680" customWidth="1"/>
    <col min="5379" max="5379" width="10.85546875" style="680" customWidth="1"/>
    <col min="5380" max="5380" width="0" style="680" hidden="1" customWidth="1"/>
    <col min="5381" max="5621" width="9.140625" style="680"/>
    <col min="5622" max="5622" width="3.7109375" style="680" customWidth="1"/>
    <col min="5623" max="5623" width="2.42578125" style="680" customWidth="1"/>
    <col min="5624" max="5624" width="2.85546875" style="680" customWidth="1"/>
    <col min="5625" max="5633" width="7.7109375" style="680" customWidth="1"/>
    <col min="5634" max="5634" width="6.5703125" style="680" customWidth="1"/>
    <col min="5635" max="5635" width="10.85546875" style="680" customWidth="1"/>
    <col min="5636" max="5636" width="0" style="680" hidden="1" customWidth="1"/>
    <col min="5637" max="5877" width="9.140625" style="680"/>
    <col min="5878" max="5878" width="3.7109375" style="680" customWidth="1"/>
    <col min="5879" max="5879" width="2.42578125" style="680" customWidth="1"/>
    <col min="5880" max="5880" width="2.85546875" style="680" customWidth="1"/>
    <col min="5881" max="5889" width="7.7109375" style="680" customWidth="1"/>
    <col min="5890" max="5890" width="6.5703125" style="680" customWidth="1"/>
    <col min="5891" max="5891" width="10.85546875" style="680" customWidth="1"/>
    <col min="5892" max="5892" width="0" style="680" hidden="1" customWidth="1"/>
    <col min="5893" max="6133" width="9.140625" style="680"/>
    <col min="6134" max="6134" width="3.7109375" style="680" customWidth="1"/>
    <col min="6135" max="6135" width="2.42578125" style="680" customWidth="1"/>
    <col min="6136" max="6136" width="2.85546875" style="680" customWidth="1"/>
    <col min="6137" max="6145" width="7.7109375" style="680" customWidth="1"/>
    <col min="6146" max="6146" width="6.5703125" style="680" customWidth="1"/>
    <col min="6147" max="6147" width="10.85546875" style="680" customWidth="1"/>
    <col min="6148" max="6148" width="0" style="680" hidden="1" customWidth="1"/>
    <col min="6149" max="6389" width="9.140625" style="680"/>
    <col min="6390" max="6390" width="3.7109375" style="680" customWidth="1"/>
    <col min="6391" max="6391" width="2.42578125" style="680" customWidth="1"/>
    <col min="6392" max="6392" width="2.85546875" style="680" customWidth="1"/>
    <col min="6393" max="6401" width="7.7109375" style="680" customWidth="1"/>
    <col min="6402" max="6402" width="6.5703125" style="680" customWidth="1"/>
    <col min="6403" max="6403" width="10.85546875" style="680" customWidth="1"/>
    <col min="6404" max="6404" width="0" style="680" hidden="1" customWidth="1"/>
    <col min="6405" max="6645" width="9.140625" style="680"/>
    <col min="6646" max="6646" width="3.7109375" style="680" customWidth="1"/>
    <col min="6647" max="6647" width="2.42578125" style="680" customWidth="1"/>
    <col min="6648" max="6648" width="2.85546875" style="680" customWidth="1"/>
    <col min="6649" max="6657" width="7.7109375" style="680" customWidth="1"/>
    <col min="6658" max="6658" width="6.5703125" style="680" customWidth="1"/>
    <col min="6659" max="6659" width="10.85546875" style="680" customWidth="1"/>
    <col min="6660" max="6660" width="0" style="680" hidden="1" customWidth="1"/>
    <col min="6661" max="6901" width="9.140625" style="680"/>
    <col min="6902" max="6902" width="3.7109375" style="680" customWidth="1"/>
    <col min="6903" max="6903" width="2.42578125" style="680" customWidth="1"/>
    <col min="6904" max="6904" width="2.85546875" style="680" customWidth="1"/>
    <col min="6905" max="6913" width="7.7109375" style="680" customWidth="1"/>
    <col min="6914" max="6914" width="6.5703125" style="680" customWidth="1"/>
    <col min="6915" max="6915" width="10.85546875" style="680" customWidth="1"/>
    <col min="6916" max="6916" width="0" style="680" hidden="1" customWidth="1"/>
    <col min="6917" max="7157" width="9.140625" style="680"/>
    <col min="7158" max="7158" width="3.7109375" style="680" customWidth="1"/>
    <col min="7159" max="7159" width="2.42578125" style="680" customWidth="1"/>
    <col min="7160" max="7160" width="2.85546875" style="680" customWidth="1"/>
    <col min="7161" max="7169" width="7.7109375" style="680" customWidth="1"/>
    <col min="7170" max="7170" width="6.5703125" style="680" customWidth="1"/>
    <col min="7171" max="7171" width="10.85546875" style="680" customWidth="1"/>
    <col min="7172" max="7172" width="0" style="680" hidden="1" customWidth="1"/>
    <col min="7173" max="7413" width="9.140625" style="680"/>
    <col min="7414" max="7414" width="3.7109375" style="680" customWidth="1"/>
    <col min="7415" max="7415" width="2.42578125" style="680" customWidth="1"/>
    <col min="7416" max="7416" width="2.85546875" style="680" customWidth="1"/>
    <col min="7417" max="7425" width="7.7109375" style="680" customWidth="1"/>
    <col min="7426" max="7426" width="6.5703125" style="680" customWidth="1"/>
    <col min="7427" max="7427" width="10.85546875" style="680" customWidth="1"/>
    <col min="7428" max="7428" width="0" style="680" hidden="1" customWidth="1"/>
    <col min="7429" max="7669" width="9.140625" style="680"/>
    <col min="7670" max="7670" width="3.7109375" style="680" customWidth="1"/>
    <col min="7671" max="7671" width="2.42578125" style="680" customWidth="1"/>
    <col min="7672" max="7672" width="2.85546875" style="680" customWidth="1"/>
    <col min="7673" max="7681" width="7.7109375" style="680" customWidth="1"/>
    <col min="7682" max="7682" width="6.5703125" style="680" customWidth="1"/>
    <col min="7683" max="7683" width="10.85546875" style="680" customWidth="1"/>
    <col min="7684" max="7684" width="0" style="680" hidden="1" customWidth="1"/>
    <col min="7685" max="7925" width="9.140625" style="680"/>
    <col min="7926" max="7926" width="3.7109375" style="680" customWidth="1"/>
    <col min="7927" max="7927" width="2.42578125" style="680" customWidth="1"/>
    <col min="7928" max="7928" width="2.85546875" style="680" customWidth="1"/>
    <col min="7929" max="7937" width="7.7109375" style="680" customWidth="1"/>
    <col min="7938" max="7938" width="6.5703125" style="680" customWidth="1"/>
    <col min="7939" max="7939" width="10.85546875" style="680" customWidth="1"/>
    <col min="7940" max="7940" width="0" style="680" hidden="1" customWidth="1"/>
    <col min="7941" max="8181" width="9.140625" style="680"/>
    <col min="8182" max="8182" width="3.7109375" style="680" customWidth="1"/>
    <col min="8183" max="8183" width="2.42578125" style="680" customWidth="1"/>
    <col min="8184" max="8184" width="2.85546875" style="680" customWidth="1"/>
    <col min="8185" max="8193" width="7.7109375" style="680" customWidth="1"/>
    <col min="8194" max="8194" width="6.5703125" style="680" customWidth="1"/>
    <col min="8195" max="8195" width="10.85546875" style="680" customWidth="1"/>
    <col min="8196" max="8196" width="0" style="680" hidden="1" customWidth="1"/>
    <col min="8197" max="8437" width="9.140625" style="680"/>
    <col min="8438" max="8438" width="3.7109375" style="680" customWidth="1"/>
    <col min="8439" max="8439" width="2.42578125" style="680" customWidth="1"/>
    <col min="8440" max="8440" width="2.85546875" style="680" customWidth="1"/>
    <col min="8441" max="8449" width="7.7109375" style="680" customWidth="1"/>
    <col min="8450" max="8450" width="6.5703125" style="680" customWidth="1"/>
    <col min="8451" max="8451" width="10.85546875" style="680" customWidth="1"/>
    <col min="8452" max="8452" width="0" style="680" hidden="1" customWidth="1"/>
    <col min="8453" max="8693" width="9.140625" style="680"/>
    <col min="8694" max="8694" width="3.7109375" style="680" customWidth="1"/>
    <col min="8695" max="8695" width="2.42578125" style="680" customWidth="1"/>
    <col min="8696" max="8696" width="2.85546875" style="680" customWidth="1"/>
    <col min="8697" max="8705" width="7.7109375" style="680" customWidth="1"/>
    <col min="8706" max="8706" width="6.5703125" style="680" customWidth="1"/>
    <col min="8707" max="8707" width="10.85546875" style="680" customWidth="1"/>
    <col min="8708" max="8708" width="0" style="680" hidden="1" customWidth="1"/>
    <col min="8709" max="8949" width="9.140625" style="680"/>
    <col min="8950" max="8950" width="3.7109375" style="680" customWidth="1"/>
    <col min="8951" max="8951" width="2.42578125" style="680" customWidth="1"/>
    <col min="8952" max="8952" width="2.85546875" style="680" customWidth="1"/>
    <col min="8953" max="8961" width="7.7109375" style="680" customWidth="1"/>
    <col min="8962" max="8962" width="6.5703125" style="680" customWidth="1"/>
    <col min="8963" max="8963" width="10.85546875" style="680" customWidth="1"/>
    <col min="8964" max="8964" width="0" style="680" hidden="1" customWidth="1"/>
    <col min="8965" max="9205" width="9.140625" style="680"/>
    <col min="9206" max="9206" width="3.7109375" style="680" customWidth="1"/>
    <col min="9207" max="9207" width="2.42578125" style="680" customWidth="1"/>
    <col min="9208" max="9208" width="2.85546875" style="680" customWidth="1"/>
    <col min="9209" max="9217" width="7.7109375" style="680" customWidth="1"/>
    <col min="9218" max="9218" width="6.5703125" style="680" customWidth="1"/>
    <col min="9219" max="9219" width="10.85546875" style="680" customWidth="1"/>
    <col min="9220" max="9220" width="0" style="680" hidden="1" customWidth="1"/>
    <col min="9221" max="9461" width="9.140625" style="680"/>
    <col min="9462" max="9462" width="3.7109375" style="680" customWidth="1"/>
    <col min="9463" max="9463" width="2.42578125" style="680" customWidth="1"/>
    <col min="9464" max="9464" width="2.85546875" style="680" customWidth="1"/>
    <col min="9465" max="9473" width="7.7109375" style="680" customWidth="1"/>
    <col min="9474" max="9474" width="6.5703125" style="680" customWidth="1"/>
    <col min="9475" max="9475" width="10.85546875" style="680" customWidth="1"/>
    <col min="9476" max="9476" width="0" style="680" hidden="1" customWidth="1"/>
    <col min="9477" max="9717" width="9.140625" style="680"/>
    <col min="9718" max="9718" width="3.7109375" style="680" customWidth="1"/>
    <col min="9719" max="9719" width="2.42578125" style="680" customWidth="1"/>
    <col min="9720" max="9720" width="2.85546875" style="680" customWidth="1"/>
    <col min="9721" max="9729" width="7.7109375" style="680" customWidth="1"/>
    <col min="9730" max="9730" width="6.5703125" style="680" customWidth="1"/>
    <col min="9731" max="9731" width="10.85546875" style="680" customWidth="1"/>
    <col min="9732" max="9732" width="0" style="680" hidden="1" customWidth="1"/>
    <col min="9733" max="9973" width="9.140625" style="680"/>
    <col min="9974" max="9974" width="3.7109375" style="680" customWidth="1"/>
    <col min="9975" max="9975" width="2.42578125" style="680" customWidth="1"/>
    <col min="9976" max="9976" width="2.85546875" style="680" customWidth="1"/>
    <col min="9977" max="9985" width="7.7109375" style="680" customWidth="1"/>
    <col min="9986" max="9986" width="6.5703125" style="680" customWidth="1"/>
    <col min="9987" max="9987" width="10.85546875" style="680" customWidth="1"/>
    <col min="9988" max="9988" width="0" style="680" hidden="1" customWidth="1"/>
    <col min="9989" max="10229" width="9.140625" style="680"/>
    <col min="10230" max="10230" width="3.7109375" style="680" customWidth="1"/>
    <col min="10231" max="10231" width="2.42578125" style="680" customWidth="1"/>
    <col min="10232" max="10232" width="2.85546875" style="680" customWidth="1"/>
    <col min="10233" max="10241" width="7.7109375" style="680" customWidth="1"/>
    <col min="10242" max="10242" width="6.5703125" style="680" customWidth="1"/>
    <col min="10243" max="10243" width="10.85546875" style="680" customWidth="1"/>
    <col min="10244" max="10244" width="0" style="680" hidden="1" customWidth="1"/>
    <col min="10245" max="10485" width="9.140625" style="680"/>
    <col min="10486" max="10486" width="3.7109375" style="680" customWidth="1"/>
    <col min="10487" max="10487" width="2.42578125" style="680" customWidth="1"/>
    <col min="10488" max="10488" width="2.85546875" style="680" customWidth="1"/>
    <col min="10489" max="10497" width="7.7109375" style="680" customWidth="1"/>
    <col min="10498" max="10498" width="6.5703125" style="680" customWidth="1"/>
    <col min="10499" max="10499" width="10.85546875" style="680" customWidth="1"/>
    <col min="10500" max="10500" width="0" style="680" hidden="1" customWidth="1"/>
    <col min="10501" max="10741" width="9.140625" style="680"/>
    <col min="10742" max="10742" width="3.7109375" style="680" customWidth="1"/>
    <col min="10743" max="10743" width="2.42578125" style="680" customWidth="1"/>
    <col min="10744" max="10744" width="2.85546875" style="680" customWidth="1"/>
    <col min="10745" max="10753" width="7.7109375" style="680" customWidth="1"/>
    <col min="10754" max="10754" width="6.5703125" style="680" customWidth="1"/>
    <col min="10755" max="10755" width="10.85546875" style="680" customWidth="1"/>
    <col min="10756" max="10756" width="0" style="680" hidden="1" customWidth="1"/>
    <col min="10757" max="10997" width="9.140625" style="680"/>
    <col min="10998" max="10998" width="3.7109375" style="680" customWidth="1"/>
    <col min="10999" max="10999" width="2.42578125" style="680" customWidth="1"/>
    <col min="11000" max="11000" width="2.85546875" style="680" customWidth="1"/>
    <col min="11001" max="11009" width="7.7109375" style="680" customWidth="1"/>
    <col min="11010" max="11010" width="6.5703125" style="680" customWidth="1"/>
    <col min="11011" max="11011" width="10.85546875" style="680" customWidth="1"/>
    <col min="11012" max="11012" width="0" style="680" hidden="1" customWidth="1"/>
    <col min="11013" max="11253" width="9.140625" style="680"/>
    <col min="11254" max="11254" width="3.7109375" style="680" customWidth="1"/>
    <col min="11255" max="11255" width="2.42578125" style="680" customWidth="1"/>
    <col min="11256" max="11256" width="2.85546875" style="680" customWidth="1"/>
    <col min="11257" max="11265" width="7.7109375" style="680" customWidth="1"/>
    <col min="11266" max="11266" width="6.5703125" style="680" customWidth="1"/>
    <col min="11267" max="11267" width="10.85546875" style="680" customWidth="1"/>
    <col min="11268" max="11268" width="0" style="680" hidden="1" customWidth="1"/>
    <col min="11269" max="11509" width="9.140625" style="680"/>
    <col min="11510" max="11510" width="3.7109375" style="680" customWidth="1"/>
    <col min="11511" max="11511" width="2.42578125" style="680" customWidth="1"/>
    <col min="11512" max="11512" width="2.85546875" style="680" customWidth="1"/>
    <col min="11513" max="11521" width="7.7109375" style="680" customWidth="1"/>
    <col min="11522" max="11522" width="6.5703125" style="680" customWidth="1"/>
    <col min="11523" max="11523" width="10.85546875" style="680" customWidth="1"/>
    <col min="11524" max="11524" width="0" style="680" hidden="1" customWidth="1"/>
    <col min="11525" max="11765" width="9.140625" style="680"/>
    <col min="11766" max="11766" width="3.7109375" style="680" customWidth="1"/>
    <col min="11767" max="11767" width="2.42578125" style="680" customWidth="1"/>
    <col min="11768" max="11768" width="2.85546875" style="680" customWidth="1"/>
    <col min="11769" max="11777" width="7.7109375" style="680" customWidth="1"/>
    <col min="11778" max="11778" width="6.5703125" style="680" customWidth="1"/>
    <col min="11779" max="11779" width="10.85546875" style="680" customWidth="1"/>
    <col min="11780" max="11780" width="0" style="680" hidden="1" customWidth="1"/>
    <col min="11781" max="12021" width="9.140625" style="680"/>
    <col min="12022" max="12022" width="3.7109375" style="680" customWidth="1"/>
    <col min="12023" max="12023" width="2.42578125" style="680" customWidth="1"/>
    <col min="12024" max="12024" width="2.85546875" style="680" customWidth="1"/>
    <col min="12025" max="12033" width="7.7109375" style="680" customWidth="1"/>
    <col min="12034" max="12034" width="6.5703125" style="680" customWidth="1"/>
    <col min="12035" max="12035" width="10.85546875" style="680" customWidth="1"/>
    <col min="12036" max="12036" width="0" style="680" hidden="1" customWidth="1"/>
    <col min="12037" max="12277" width="9.140625" style="680"/>
    <col min="12278" max="12278" width="3.7109375" style="680" customWidth="1"/>
    <col min="12279" max="12279" width="2.42578125" style="680" customWidth="1"/>
    <col min="12280" max="12280" width="2.85546875" style="680" customWidth="1"/>
    <col min="12281" max="12289" width="7.7109375" style="680" customWidth="1"/>
    <col min="12290" max="12290" width="6.5703125" style="680" customWidth="1"/>
    <col min="12291" max="12291" width="10.85546875" style="680" customWidth="1"/>
    <col min="12292" max="12292" width="0" style="680" hidden="1" customWidth="1"/>
    <col min="12293" max="12533" width="9.140625" style="680"/>
    <col min="12534" max="12534" width="3.7109375" style="680" customWidth="1"/>
    <col min="12535" max="12535" width="2.42578125" style="680" customWidth="1"/>
    <col min="12536" max="12536" width="2.85546875" style="680" customWidth="1"/>
    <col min="12537" max="12545" width="7.7109375" style="680" customWidth="1"/>
    <col min="12546" max="12546" width="6.5703125" style="680" customWidth="1"/>
    <col min="12547" max="12547" width="10.85546875" style="680" customWidth="1"/>
    <col min="12548" max="12548" width="0" style="680" hidden="1" customWidth="1"/>
    <col min="12549" max="12789" width="9.140625" style="680"/>
    <col min="12790" max="12790" width="3.7109375" style="680" customWidth="1"/>
    <col min="12791" max="12791" width="2.42578125" style="680" customWidth="1"/>
    <col min="12792" max="12792" width="2.85546875" style="680" customWidth="1"/>
    <col min="12793" max="12801" width="7.7109375" style="680" customWidth="1"/>
    <col min="12802" max="12802" width="6.5703125" style="680" customWidth="1"/>
    <col min="12803" max="12803" width="10.85546875" style="680" customWidth="1"/>
    <col min="12804" max="12804" width="0" style="680" hidden="1" customWidth="1"/>
    <col min="12805" max="13045" width="9.140625" style="680"/>
    <col min="13046" max="13046" width="3.7109375" style="680" customWidth="1"/>
    <col min="13047" max="13047" width="2.42578125" style="680" customWidth="1"/>
    <col min="13048" max="13048" width="2.85546875" style="680" customWidth="1"/>
    <col min="13049" max="13057" width="7.7109375" style="680" customWidth="1"/>
    <col min="13058" max="13058" width="6.5703125" style="680" customWidth="1"/>
    <col min="13059" max="13059" width="10.85546875" style="680" customWidth="1"/>
    <col min="13060" max="13060" width="0" style="680" hidden="1" customWidth="1"/>
    <col min="13061" max="13301" width="9.140625" style="680"/>
    <col min="13302" max="13302" width="3.7109375" style="680" customWidth="1"/>
    <col min="13303" max="13303" width="2.42578125" style="680" customWidth="1"/>
    <col min="13304" max="13304" width="2.85546875" style="680" customWidth="1"/>
    <col min="13305" max="13313" width="7.7109375" style="680" customWidth="1"/>
    <col min="13314" max="13314" width="6.5703125" style="680" customWidth="1"/>
    <col min="13315" max="13315" width="10.85546875" style="680" customWidth="1"/>
    <col min="13316" max="13316" width="0" style="680" hidden="1" customWidth="1"/>
    <col min="13317" max="13557" width="9.140625" style="680"/>
    <col min="13558" max="13558" width="3.7109375" style="680" customWidth="1"/>
    <col min="13559" max="13559" width="2.42578125" style="680" customWidth="1"/>
    <col min="13560" max="13560" width="2.85546875" style="680" customWidth="1"/>
    <col min="13561" max="13569" width="7.7109375" style="680" customWidth="1"/>
    <col min="13570" max="13570" width="6.5703125" style="680" customWidth="1"/>
    <col min="13571" max="13571" width="10.85546875" style="680" customWidth="1"/>
    <col min="13572" max="13572" width="0" style="680" hidden="1" customWidth="1"/>
    <col min="13573" max="13813" width="9.140625" style="680"/>
    <col min="13814" max="13814" width="3.7109375" style="680" customWidth="1"/>
    <col min="13815" max="13815" width="2.42578125" style="680" customWidth="1"/>
    <col min="13816" max="13816" width="2.85546875" style="680" customWidth="1"/>
    <col min="13817" max="13825" width="7.7109375" style="680" customWidth="1"/>
    <col min="13826" max="13826" width="6.5703125" style="680" customWidth="1"/>
    <col min="13827" max="13827" width="10.85546875" style="680" customWidth="1"/>
    <col min="13828" max="13828" width="0" style="680" hidden="1" customWidth="1"/>
    <col min="13829" max="14069" width="9.140625" style="680"/>
    <col min="14070" max="14070" width="3.7109375" style="680" customWidth="1"/>
    <col min="14071" max="14071" width="2.42578125" style="680" customWidth="1"/>
    <col min="14072" max="14072" width="2.85546875" style="680" customWidth="1"/>
    <col min="14073" max="14081" width="7.7109375" style="680" customWidth="1"/>
    <col min="14082" max="14082" width="6.5703125" style="680" customWidth="1"/>
    <col min="14083" max="14083" width="10.85546875" style="680" customWidth="1"/>
    <col min="14084" max="14084" width="0" style="680" hidden="1" customWidth="1"/>
    <col min="14085" max="14325" width="9.140625" style="680"/>
    <col min="14326" max="14326" width="3.7109375" style="680" customWidth="1"/>
    <col min="14327" max="14327" width="2.42578125" style="680" customWidth="1"/>
    <col min="14328" max="14328" width="2.85546875" style="680" customWidth="1"/>
    <col min="14329" max="14337" width="7.7109375" style="680" customWidth="1"/>
    <col min="14338" max="14338" width="6.5703125" style="680" customWidth="1"/>
    <col min="14339" max="14339" width="10.85546875" style="680" customWidth="1"/>
    <col min="14340" max="14340" width="0" style="680" hidden="1" customWidth="1"/>
    <col min="14341" max="14581" width="9.140625" style="680"/>
    <col min="14582" max="14582" width="3.7109375" style="680" customWidth="1"/>
    <col min="14583" max="14583" width="2.42578125" style="680" customWidth="1"/>
    <col min="14584" max="14584" width="2.85546875" style="680" customWidth="1"/>
    <col min="14585" max="14593" width="7.7109375" style="680" customWidth="1"/>
    <col min="14594" max="14594" width="6.5703125" style="680" customWidth="1"/>
    <col min="14595" max="14595" width="10.85546875" style="680" customWidth="1"/>
    <col min="14596" max="14596" width="0" style="680" hidden="1" customWidth="1"/>
    <col min="14597" max="14837" width="9.140625" style="680"/>
    <col min="14838" max="14838" width="3.7109375" style="680" customWidth="1"/>
    <col min="14839" max="14839" width="2.42578125" style="680" customWidth="1"/>
    <col min="14840" max="14840" width="2.85546875" style="680" customWidth="1"/>
    <col min="14841" max="14849" width="7.7109375" style="680" customWidth="1"/>
    <col min="14850" max="14850" width="6.5703125" style="680" customWidth="1"/>
    <col min="14851" max="14851" width="10.85546875" style="680" customWidth="1"/>
    <col min="14852" max="14852" width="0" style="680" hidden="1" customWidth="1"/>
    <col min="14853" max="15093" width="9.140625" style="680"/>
    <col min="15094" max="15094" width="3.7109375" style="680" customWidth="1"/>
    <col min="15095" max="15095" width="2.42578125" style="680" customWidth="1"/>
    <col min="15096" max="15096" width="2.85546875" style="680" customWidth="1"/>
    <col min="15097" max="15105" width="7.7109375" style="680" customWidth="1"/>
    <col min="15106" max="15106" width="6.5703125" style="680" customWidth="1"/>
    <col min="15107" max="15107" width="10.85546875" style="680" customWidth="1"/>
    <col min="15108" max="15108" width="0" style="680" hidden="1" customWidth="1"/>
    <col min="15109" max="15349" width="9.140625" style="680"/>
    <col min="15350" max="15350" width="3.7109375" style="680" customWidth="1"/>
    <col min="15351" max="15351" width="2.42578125" style="680" customWidth="1"/>
    <col min="15352" max="15352" width="2.85546875" style="680" customWidth="1"/>
    <col min="15353" max="15361" width="7.7109375" style="680" customWidth="1"/>
    <col min="15362" max="15362" width="6.5703125" style="680" customWidth="1"/>
    <col min="15363" max="15363" width="10.85546875" style="680" customWidth="1"/>
    <col min="15364" max="15364" width="0" style="680" hidden="1" customWidth="1"/>
    <col min="15365" max="15605" width="9.140625" style="680"/>
    <col min="15606" max="15606" width="3.7109375" style="680" customWidth="1"/>
    <col min="15607" max="15607" width="2.42578125" style="680" customWidth="1"/>
    <col min="15608" max="15608" width="2.85546875" style="680" customWidth="1"/>
    <col min="15609" max="15617" width="7.7109375" style="680" customWidth="1"/>
    <col min="15618" max="15618" width="6.5703125" style="680" customWidth="1"/>
    <col min="15619" max="15619" width="10.85546875" style="680" customWidth="1"/>
    <col min="15620" max="15620" width="0" style="680" hidden="1" customWidth="1"/>
    <col min="15621" max="15861" width="9.140625" style="680"/>
    <col min="15862" max="15862" width="3.7109375" style="680" customWidth="1"/>
    <col min="15863" max="15863" width="2.42578125" style="680" customWidth="1"/>
    <col min="15864" max="15864" width="2.85546875" style="680" customWidth="1"/>
    <col min="15865" max="15873" width="7.7109375" style="680" customWidth="1"/>
    <col min="15874" max="15874" width="6.5703125" style="680" customWidth="1"/>
    <col min="15875" max="15875" width="10.85546875" style="680" customWidth="1"/>
    <col min="15876" max="15876" width="0" style="680" hidden="1" customWidth="1"/>
    <col min="15877" max="16117" width="9.140625" style="680"/>
    <col min="16118" max="16118" width="3.7109375" style="680" customWidth="1"/>
    <col min="16119" max="16119" width="2.42578125" style="680" customWidth="1"/>
    <col min="16120" max="16120" width="2.85546875" style="680" customWidth="1"/>
    <col min="16121" max="16129" width="7.7109375" style="680" customWidth="1"/>
    <col min="16130" max="16130" width="6.5703125" style="680" customWidth="1"/>
    <col min="16131" max="16131" width="10.85546875" style="680" customWidth="1"/>
    <col min="16132" max="16132" width="0" style="680" hidden="1" customWidth="1"/>
    <col min="16133" max="16384" width="9.140625" style="680"/>
  </cols>
  <sheetData>
    <row r="1" spans="1:16" ht="9.75" customHeight="1" x14ac:dyDescent="0.2">
      <c r="A1" s="1047" t="s">
        <v>152</v>
      </c>
      <c r="B1" s="1048"/>
      <c r="C1" s="1048"/>
      <c r="D1" s="1048"/>
      <c r="E1" s="1049"/>
      <c r="F1" s="1047" t="s">
        <v>154</v>
      </c>
      <c r="G1" s="1049"/>
      <c r="H1" s="673" t="s">
        <v>155</v>
      </c>
      <c r="I1" s="674"/>
      <c r="J1" s="675" t="s">
        <v>153</v>
      </c>
      <c r="K1" s="676" t="s">
        <v>46</v>
      </c>
      <c r="L1" s="677"/>
      <c r="M1" s="678" t="s">
        <v>169</v>
      </c>
      <c r="N1" s="678" t="s">
        <v>156</v>
      </c>
      <c r="O1" s="677"/>
      <c r="P1" s="679" t="str">
        <f>IF(ISBLANK(K2),"",K2)</f>
        <v/>
      </c>
    </row>
    <row r="2" spans="1:16" s="685" customFormat="1" ht="21" customHeight="1" x14ac:dyDescent="0.25">
      <c r="A2" s="1039" t="str">
        <f>Fältkort!H91</f>
        <v>HUG066</v>
      </c>
      <c r="B2" s="1040"/>
      <c r="C2" s="1040"/>
      <c r="D2" s="1040"/>
      <c r="E2" s="1050"/>
      <c r="F2" s="681" t="str">
        <f>Fältkort!H86</f>
        <v>HU-1433</v>
      </c>
      <c r="G2" s="682"/>
      <c r="H2" s="681" t="str">
        <f>Fältkort!H94</f>
        <v>M-658-2014</v>
      </c>
      <c r="I2" s="682"/>
      <c r="J2" s="683">
        <f>PM!AF6</f>
        <v>2014</v>
      </c>
      <c r="K2" s="1037"/>
      <c r="L2" s="1038"/>
      <c r="M2" s="684"/>
      <c r="N2" s="1035"/>
      <c r="O2" s="1036"/>
      <c r="P2" s="679" t="str">
        <f>IF(ISBLANK(M2),"",M2)</f>
        <v/>
      </c>
    </row>
    <row r="3" spans="1:16" ht="12.75" customHeight="1" x14ac:dyDescent="0.2">
      <c r="A3" s="1041"/>
      <c r="B3" s="1042"/>
      <c r="C3" s="1043"/>
      <c r="D3" s="686"/>
      <c r="E3" s="687" t="s">
        <v>1205</v>
      </c>
      <c r="F3" s="687"/>
      <c r="G3" s="687"/>
      <c r="H3" s="687"/>
      <c r="I3" s="687"/>
      <c r="J3" s="687"/>
      <c r="K3" s="687"/>
      <c r="L3" s="687"/>
      <c r="M3" s="687"/>
      <c r="N3" s="688"/>
      <c r="O3" s="689"/>
      <c r="P3" s="679" t="str">
        <f>IF(ISBLANK(N2),"",N2)</f>
        <v/>
      </c>
    </row>
    <row r="4" spans="1:16" ht="19.5" customHeight="1" x14ac:dyDescent="0.2">
      <c r="A4" s="1044"/>
      <c r="B4" s="1045"/>
      <c r="C4" s="1046"/>
      <c r="D4" s="690"/>
      <c r="E4" s="691"/>
      <c r="F4" s="691"/>
      <c r="G4" s="691"/>
      <c r="H4" s="691"/>
      <c r="I4" s="691"/>
      <c r="J4" s="691"/>
      <c r="K4" s="691"/>
      <c r="L4" s="691"/>
      <c r="M4" s="691"/>
      <c r="N4" s="1051" t="str">
        <f>PM!H90</f>
        <v>G2:</v>
      </c>
      <c r="O4" s="1052"/>
    </row>
    <row r="5" spans="1:16" ht="12.75" customHeight="1" x14ac:dyDescent="0.2">
      <c r="A5" s="692" t="s">
        <v>810</v>
      </c>
      <c r="B5" s="693"/>
      <c r="C5" s="694"/>
      <c r="D5" s="694"/>
      <c r="E5" s="695" t="s">
        <v>1212</v>
      </c>
      <c r="F5" s="695" t="s">
        <v>1212</v>
      </c>
      <c r="G5" s="695" t="s">
        <v>1212</v>
      </c>
      <c r="H5" s="695" t="s">
        <v>1212</v>
      </c>
      <c r="I5" s="695" t="s">
        <v>1212</v>
      </c>
      <c r="J5" s="695" t="s">
        <v>1212</v>
      </c>
      <c r="K5" s="695" t="s">
        <v>1212</v>
      </c>
      <c r="L5" s="695" t="s">
        <v>1212</v>
      </c>
      <c r="M5" s="695" t="s">
        <v>1212</v>
      </c>
      <c r="N5" s="1053"/>
      <c r="O5" s="1054"/>
    </row>
    <row r="6" spans="1:16" ht="24" x14ac:dyDescent="0.2">
      <c r="A6" s="696" t="s">
        <v>149</v>
      </c>
      <c r="B6" s="696" t="s">
        <v>158</v>
      </c>
      <c r="C6" s="697" t="s">
        <v>157</v>
      </c>
      <c r="D6" s="697"/>
      <c r="E6" s="698"/>
      <c r="F6" s="698"/>
      <c r="G6" s="698"/>
      <c r="H6" s="698"/>
      <c r="I6" s="698"/>
      <c r="J6" s="698"/>
      <c r="K6" s="698"/>
      <c r="L6" s="698"/>
      <c r="M6" s="698"/>
      <c r="N6" s="699" t="str">
        <f>IF(ISBLANK(PM!J90),"",PM!J90)</f>
        <v>T3</v>
      </c>
      <c r="O6" s="700" t="str">
        <f>IF(ISBLANK(PM!K90),"",PM!K90)</f>
        <v>+28-42 dagar</v>
      </c>
    </row>
    <row r="7" spans="1:16" s="707" customFormat="1" ht="19.5" customHeight="1" x14ac:dyDescent="0.2">
      <c r="A7" s="701">
        <f>Led!D2</f>
        <v>1</v>
      </c>
      <c r="B7" s="702">
        <f>Led!E2</f>
        <v>1</v>
      </c>
      <c r="C7" s="703" t="str">
        <f>IF(ISNUMBER(A7),(IF(Led!F2=Led!$Q$94,Led!F2,IF(ISBLANK($C$5),"",Led!F2))),"")</f>
        <v/>
      </c>
      <c r="D7" s="703" t="str">
        <f>Led!CS2</f>
        <v>1-07</v>
      </c>
      <c r="E7" s="704"/>
      <c r="F7" s="704"/>
      <c r="G7" s="704"/>
      <c r="H7" s="704"/>
      <c r="I7" s="704"/>
      <c r="J7" s="704"/>
      <c r="K7" s="704"/>
      <c r="L7" s="704"/>
      <c r="M7" s="704"/>
      <c r="N7" s="705" t="s">
        <v>660</v>
      </c>
      <c r="O7" s="706" t="s">
        <v>661</v>
      </c>
    </row>
    <row r="8" spans="1:16" s="707" customFormat="1" ht="19.5" customHeight="1" x14ac:dyDescent="0.2">
      <c r="A8" s="701">
        <f>Led!D3</f>
        <v>2</v>
      </c>
      <c r="B8" s="702">
        <f>Led!E3</f>
        <v>1</v>
      </c>
      <c r="C8" s="703" t="str">
        <f>IF(ISNUMBER(A8),(IF(Led!F3=Led!$Q$94,Led!F3,IF(ISBLANK($C$5),"",Led!F3))),"")</f>
        <v/>
      </c>
      <c r="D8" s="703" t="str">
        <f>Led!CS3</f>
        <v>1-04</v>
      </c>
      <c r="E8" s="704"/>
      <c r="F8" s="704"/>
      <c r="G8" s="704"/>
      <c r="H8" s="704"/>
      <c r="I8" s="704"/>
      <c r="J8" s="704"/>
      <c r="K8" s="704"/>
      <c r="L8" s="704"/>
      <c r="M8" s="704"/>
      <c r="N8" s="705" t="s">
        <v>679</v>
      </c>
      <c r="O8" s="706" t="s">
        <v>1176</v>
      </c>
    </row>
    <row r="9" spans="1:16" s="707" customFormat="1" ht="19.5" customHeight="1" x14ac:dyDescent="0.2">
      <c r="A9" s="701">
        <f>Led!D4</f>
        <v>3</v>
      </c>
      <c r="B9" s="702">
        <f>Led!E4</f>
        <v>1</v>
      </c>
      <c r="C9" s="703" t="str">
        <f>IF(ISNUMBER(A9),(IF(Led!F4=Led!$Q$94,Led!F4,IF(ISBLANK($C$5),"",Led!F4))),"")</f>
        <v/>
      </c>
      <c r="D9" s="703" t="str">
        <f>Led!CS4</f>
        <v>1-03</v>
      </c>
      <c r="E9" s="704"/>
      <c r="F9" s="704"/>
      <c r="G9" s="704"/>
      <c r="H9" s="708"/>
      <c r="I9" s="704"/>
      <c r="J9" s="704"/>
      <c r="K9" s="704"/>
      <c r="L9" s="704"/>
      <c r="M9" s="704"/>
      <c r="N9" s="705" t="s">
        <v>1177</v>
      </c>
      <c r="O9" s="706" t="s">
        <v>1178</v>
      </c>
    </row>
    <row r="10" spans="1:16" s="707" customFormat="1" ht="19.5" customHeight="1" x14ac:dyDescent="0.2">
      <c r="A10" s="701">
        <f>Led!D5</f>
        <v>4</v>
      </c>
      <c r="B10" s="702">
        <f>Led!E5</f>
        <v>1</v>
      </c>
      <c r="C10" s="703">
        <f>IF(ISNUMBER(A10),(IF(Led!F5=Led!$Q$94,Led!F5,IF(ISBLANK($C$5),"",Led!F5))),"")</f>
        <v>1</v>
      </c>
      <c r="D10" s="703" t="str">
        <f>Led!CS5</f>
        <v>1-01</v>
      </c>
      <c r="E10" s="704"/>
      <c r="F10" s="704"/>
      <c r="G10" s="704"/>
      <c r="H10" s="704"/>
      <c r="I10" s="704"/>
      <c r="J10" s="704"/>
      <c r="K10" s="704"/>
      <c r="L10" s="704"/>
      <c r="M10" s="704"/>
      <c r="N10" s="705" t="s">
        <v>675</v>
      </c>
      <c r="O10" s="706" t="s">
        <v>676</v>
      </c>
    </row>
    <row r="11" spans="1:16" s="707" customFormat="1" ht="19.5" customHeight="1" x14ac:dyDescent="0.2">
      <c r="A11" s="701">
        <f>Led!D6</f>
        <v>5</v>
      </c>
      <c r="B11" s="702">
        <f>Led!E6</f>
        <v>1</v>
      </c>
      <c r="C11" s="703" t="str">
        <f>IF(ISNUMBER(A11),(IF(Led!F6=Led!$Q$94,Led!F6,IF(ISBLANK($C$5),"",Led!F6))),"")</f>
        <v/>
      </c>
      <c r="D11" s="703" t="str">
        <f>Led!CS6</f>
        <v>1-03</v>
      </c>
      <c r="E11" s="704"/>
      <c r="F11" s="704"/>
      <c r="G11" s="704"/>
      <c r="H11" s="704"/>
      <c r="I11" s="704"/>
      <c r="J11" s="704"/>
      <c r="K11" s="704"/>
      <c r="L11" s="704"/>
      <c r="M11" s="704"/>
      <c r="N11" s="705" t="s">
        <v>665</v>
      </c>
      <c r="O11" s="706" t="s">
        <v>666</v>
      </c>
    </row>
    <row r="12" spans="1:16" s="707" customFormat="1" ht="19.5" customHeight="1" x14ac:dyDescent="0.2">
      <c r="A12" s="701">
        <f>Led!D7</f>
        <v>6</v>
      </c>
      <c r="B12" s="702">
        <f>Led!E7</f>
        <v>1</v>
      </c>
      <c r="C12" s="703" t="str">
        <f>IF(ISNUMBER(A12),(IF(Led!F7=Led!$Q$94,Led!F7,IF(ISBLANK($C$5),"",Led!F7))),"")</f>
        <v/>
      </c>
      <c r="D12" s="703" t="str">
        <f>Led!CS7</f>
        <v>1-05</v>
      </c>
      <c r="E12" s="704"/>
      <c r="F12" s="704"/>
      <c r="G12" s="704"/>
      <c r="H12" s="704"/>
      <c r="I12" s="704"/>
      <c r="J12" s="704"/>
      <c r="K12" s="704"/>
      <c r="L12" s="704"/>
      <c r="M12" s="704"/>
      <c r="N12" s="705" t="s">
        <v>663</v>
      </c>
      <c r="O12" s="706" t="s">
        <v>1179</v>
      </c>
    </row>
    <row r="13" spans="1:16" s="707" customFormat="1" ht="19.5" customHeight="1" x14ac:dyDescent="0.2">
      <c r="A13" s="701">
        <f>Led!D8</f>
        <v>7</v>
      </c>
      <c r="B13" s="702">
        <f>Led!E8</f>
        <v>1</v>
      </c>
      <c r="C13" s="703" t="str">
        <f>IF(ISNUMBER(A13),(IF(Led!F8=Led!$Q$94,Led!F8,IF(ISBLANK($C$5),"",Led!F8))),"")</f>
        <v/>
      </c>
      <c r="D13" s="703" t="str">
        <f>Led!CS8</f>
        <v>1-02</v>
      </c>
      <c r="E13" s="704"/>
      <c r="F13" s="704"/>
      <c r="G13" s="704"/>
      <c r="H13" s="704"/>
      <c r="I13" s="704"/>
      <c r="J13" s="704"/>
      <c r="K13" s="704"/>
      <c r="L13" s="704"/>
      <c r="M13" s="704"/>
      <c r="N13" s="705" t="s">
        <v>667</v>
      </c>
      <c r="O13" s="706" t="s">
        <v>668</v>
      </c>
    </row>
    <row r="14" spans="1:16" s="707" customFormat="1" ht="19.5" customHeight="1" x14ac:dyDescent="0.2">
      <c r="A14" s="701">
        <f>Led!D9</f>
        <v>8</v>
      </c>
      <c r="B14" s="702">
        <f>Led!E9</f>
        <v>2</v>
      </c>
      <c r="C14" s="703" t="str">
        <f>IF(ISNUMBER(A14),(IF(Led!F9=Led!$Q$94,Led!F9,IF(ISBLANK($C$5),"",Led!F9))),"")</f>
        <v/>
      </c>
      <c r="D14" s="703" t="str">
        <f>Led!CS9</f>
        <v>2-03</v>
      </c>
      <c r="E14" s="704"/>
      <c r="F14" s="704"/>
      <c r="G14" s="704"/>
      <c r="H14" s="704"/>
      <c r="I14" s="704"/>
      <c r="J14" s="704"/>
      <c r="K14" s="704"/>
      <c r="L14" s="704"/>
      <c r="M14" s="704"/>
      <c r="N14" s="705" t="s">
        <v>1180</v>
      </c>
      <c r="O14" s="706" t="s">
        <v>1181</v>
      </c>
    </row>
    <row r="15" spans="1:16" s="707" customFormat="1" ht="19.5" customHeight="1" x14ac:dyDescent="0.2">
      <c r="A15" s="701">
        <f>Led!D10</f>
        <v>9</v>
      </c>
      <c r="B15" s="702">
        <f>Led!E10</f>
        <v>2</v>
      </c>
      <c r="C15" s="703" t="str">
        <f>IF(ISNUMBER(A15),(IF(Led!F10=Led!$Q$94,Led!F10,IF(ISBLANK($C$5),"",Led!F10))),"")</f>
        <v/>
      </c>
      <c r="D15" s="703" t="str">
        <f>Led!CS10</f>
        <v>2-06</v>
      </c>
      <c r="E15" s="704"/>
      <c r="F15" s="704"/>
      <c r="G15" s="704"/>
      <c r="H15" s="704"/>
      <c r="I15" s="704"/>
      <c r="J15" s="704"/>
      <c r="K15" s="704"/>
      <c r="L15" s="704"/>
      <c r="M15" s="704"/>
      <c r="N15" s="705" t="s">
        <v>669</v>
      </c>
      <c r="O15" s="706" t="s">
        <v>1182</v>
      </c>
    </row>
    <row r="16" spans="1:16" s="707" customFormat="1" ht="19.5" customHeight="1" x14ac:dyDescent="0.2">
      <c r="A16" s="701">
        <f>Led!D11</f>
        <v>10</v>
      </c>
      <c r="B16" s="702">
        <f>Led!E11</f>
        <v>2</v>
      </c>
      <c r="C16" s="703" t="str">
        <f>IF(ISNUMBER(A16),(IF(Led!F11=Led!$Q$94,Led!F11,IF(ISBLANK($C$5),"",Led!F11))),"")</f>
        <v/>
      </c>
      <c r="D16" s="703" t="str">
        <f>Led!CS11</f>
        <v>2-02</v>
      </c>
      <c r="E16" s="704"/>
      <c r="F16" s="704"/>
      <c r="G16" s="704"/>
      <c r="H16" s="704"/>
      <c r="I16" s="704"/>
      <c r="J16" s="704"/>
      <c r="K16" s="704"/>
      <c r="L16" s="704"/>
      <c r="M16" s="704"/>
      <c r="N16" s="705" t="s">
        <v>677</v>
      </c>
      <c r="O16" s="706" t="s">
        <v>1183</v>
      </c>
    </row>
    <row r="17" spans="1:15" s="707" customFormat="1" ht="19.5" customHeight="1" x14ac:dyDescent="0.2">
      <c r="A17" s="701">
        <f>Led!D12</f>
        <v>11</v>
      </c>
      <c r="B17" s="702">
        <f>Led!E12</f>
        <v>2</v>
      </c>
      <c r="C17" s="703" t="str">
        <f>IF(ISNUMBER(A17),(IF(Led!F12=Led!$Q$94,Led!F12,IF(ISBLANK($C$5),"",Led!F12))),"")</f>
        <v/>
      </c>
      <c r="D17" s="703" t="str">
        <f>Led!CS12</f>
        <v>2-07</v>
      </c>
      <c r="E17" s="704"/>
      <c r="F17" s="704"/>
      <c r="G17" s="704"/>
      <c r="H17" s="704"/>
      <c r="I17" s="704"/>
      <c r="J17" s="704"/>
      <c r="K17" s="704"/>
      <c r="L17" s="704"/>
      <c r="M17" s="704"/>
      <c r="N17" s="705" t="s">
        <v>681</v>
      </c>
      <c r="O17" s="706" t="s">
        <v>1184</v>
      </c>
    </row>
    <row r="18" spans="1:15" s="707" customFormat="1" ht="19.5" customHeight="1" x14ac:dyDescent="0.2">
      <c r="A18" s="701">
        <f>Led!D13</f>
        <v>12</v>
      </c>
      <c r="B18" s="702">
        <f>Led!E13</f>
        <v>2</v>
      </c>
      <c r="C18" s="703" t="str">
        <f>IF(ISNUMBER(A18),(IF(Led!F13=Led!$Q$94,Led!F13,IF(ISBLANK($C$5),"",Led!F13))),"")</f>
        <v/>
      </c>
      <c r="D18" s="703" t="str">
        <f>Led!CS13</f>
        <v>2-04</v>
      </c>
      <c r="E18" s="704"/>
      <c r="F18" s="704"/>
      <c r="G18" s="704"/>
      <c r="H18" s="704"/>
      <c r="I18" s="704"/>
      <c r="J18" s="704"/>
      <c r="K18" s="704"/>
      <c r="L18" s="704"/>
      <c r="M18" s="704"/>
      <c r="N18" s="705" t="s">
        <v>671</v>
      </c>
      <c r="O18" s="706" t="s">
        <v>672</v>
      </c>
    </row>
    <row r="19" spans="1:15" s="707" customFormat="1" ht="19.5" customHeight="1" x14ac:dyDescent="0.2">
      <c r="A19" s="701">
        <f>Led!D14</f>
        <v>13</v>
      </c>
      <c r="B19" s="702">
        <f>Led!E14</f>
        <v>2</v>
      </c>
      <c r="C19" s="703">
        <f>IF(ISNUMBER(A19),(IF(Led!F14=Led!$Q$94,Led!F14,IF(ISBLANK($C$5),"",Led!F14))),"")</f>
        <v>1</v>
      </c>
      <c r="D19" s="703" t="str">
        <f>Led!CS14</f>
        <v>2-01</v>
      </c>
      <c r="E19" s="704"/>
      <c r="F19" s="704"/>
      <c r="G19" s="704"/>
      <c r="H19" s="704"/>
      <c r="I19" s="704"/>
      <c r="J19" s="704"/>
      <c r="K19" s="704"/>
      <c r="L19" s="704"/>
      <c r="M19" s="704"/>
      <c r="N19" s="709" t="s">
        <v>1185</v>
      </c>
      <c r="O19" s="710" t="s">
        <v>1186</v>
      </c>
    </row>
    <row r="20" spans="1:15" s="707" customFormat="1" ht="19.5" customHeight="1" x14ac:dyDescent="0.2">
      <c r="A20" s="701">
        <f>Led!D15</f>
        <v>14</v>
      </c>
      <c r="B20" s="702">
        <f>Led!E15</f>
        <v>2</v>
      </c>
      <c r="C20" s="703" t="str">
        <f>IF(ISNUMBER(A20),(IF(Led!F15=Led!$Q$94,Led!F15,IF(ISBLANK($C$5),"",Led!F15))),"")</f>
        <v/>
      </c>
      <c r="D20" s="703" t="str">
        <f>Led!CS15</f>
        <v>2-05</v>
      </c>
      <c r="E20" s="704"/>
      <c r="F20" s="704"/>
      <c r="G20" s="704"/>
      <c r="H20" s="704"/>
      <c r="I20" s="704"/>
      <c r="J20" s="704"/>
      <c r="K20" s="704"/>
      <c r="L20" s="704"/>
      <c r="M20" s="704"/>
      <c r="N20" s="705" t="s">
        <v>694</v>
      </c>
      <c r="O20" s="706" t="s">
        <v>695</v>
      </c>
    </row>
    <row r="21" spans="1:15" s="707" customFormat="1" ht="19.5" customHeight="1" x14ac:dyDescent="0.2">
      <c r="A21" s="701">
        <f>Led!D16</f>
        <v>15</v>
      </c>
      <c r="B21" s="702">
        <f>Led!E16</f>
        <v>3</v>
      </c>
      <c r="C21" s="703">
        <f>IF(ISNUMBER(A21),(IF(Led!F16=Led!$Q$94,Led!F16,IF(ISBLANK($C$5),"",Led!F16))),"")</f>
        <v>1</v>
      </c>
      <c r="D21" s="703" t="str">
        <f>Led!CS16</f>
        <v>3-01</v>
      </c>
      <c r="E21" s="704"/>
      <c r="F21" s="704"/>
      <c r="G21" s="704"/>
      <c r="H21" s="704"/>
      <c r="I21" s="704"/>
      <c r="J21" s="704"/>
      <c r="K21" s="704"/>
      <c r="L21" s="704"/>
      <c r="M21" s="704"/>
      <c r="N21" s="705" t="s">
        <v>696</v>
      </c>
      <c r="O21" s="706" t="s">
        <v>697</v>
      </c>
    </row>
    <row r="22" spans="1:15" s="707" customFormat="1" ht="19.5" customHeight="1" x14ac:dyDescent="0.2">
      <c r="A22" s="701">
        <f>Led!D17</f>
        <v>16</v>
      </c>
      <c r="B22" s="702">
        <f>Led!E17</f>
        <v>3</v>
      </c>
      <c r="C22" s="703" t="str">
        <f>IF(ISNUMBER(A22),(IF(Led!F17=Led!$Q$94,Led!F17,IF(ISBLANK($C$5),"",Led!F17))),"")</f>
        <v/>
      </c>
      <c r="D22" s="703" t="str">
        <f>Led!CS17</f>
        <v>3-02</v>
      </c>
      <c r="E22" s="704"/>
      <c r="F22" s="704"/>
      <c r="G22" s="704"/>
      <c r="H22" s="704"/>
      <c r="I22" s="704"/>
      <c r="J22" s="704"/>
      <c r="K22" s="704"/>
      <c r="L22" s="704"/>
      <c r="M22" s="704"/>
      <c r="N22" s="705" t="s">
        <v>698</v>
      </c>
      <c r="O22" s="706" t="s">
        <v>699</v>
      </c>
    </row>
    <row r="23" spans="1:15" s="707" customFormat="1" ht="19.5" customHeight="1" x14ac:dyDescent="0.2">
      <c r="A23" s="701">
        <f>Led!D18</f>
        <v>17</v>
      </c>
      <c r="B23" s="702">
        <f>Led!E18</f>
        <v>3</v>
      </c>
      <c r="C23" s="703" t="str">
        <f>IF(ISNUMBER(A23),(IF(Led!F18=Led!$Q$94,Led!F18,IF(ISBLANK($C$5),"",Led!F18))),"")</f>
        <v/>
      </c>
      <c r="D23" s="703" t="str">
        <f>Led!CS18</f>
        <v>3-06</v>
      </c>
      <c r="E23" s="704"/>
      <c r="F23" s="704"/>
      <c r="G23" s="704"/>
      <c r="H23" s="704"/>
      <c r="I23" s="704"/>
      <c r="J23" s="704"/>
      <c r="K23" s="704"/>
      <c r="L23" s="704"/>
      <c r="M23" s="704"/>
      <c r="N23" s="705" t="s">
        <v>700</v>
      </c>
      <c r="O23" s="706" t="s">
        <v>701</v>
      </c>
    </row>
    <row r="24" spans="1:15" s="707" customFormat="1" ht="19.5" customHeight="1" x14ac:dyDescent="0.2">
      <c r="A24" s="701">
        <f>Led!D19</f>
        <v>18</v>
      </c>
      <c r="B24" s="702">
        <f>Led!E19</f>
        <v>3</v>
      </c>
      <c r="C24" s="703" t="str">
        <f>IF(ISNUMBER(A24),(IF(Led!F19=Led!$Q$94,Led!F19,IF(ISBLANK($C$5),"",Led!F19))),"")</f>
        <v/>
      </c>
      <c r="D24" s="703" t="str">
        <f>Led!CS19</f>
        <v>3-05</v>
      </c>
      <c r="E24" s="704"/>
      <c r="F24" s="704"/>
      <c r="G24" s="704"/>
      <c r="H24" s="704"/>
      <c r="I24" s="704"/>
      <c r="J24" s="704"/>
      <c r="K24" s="704"/>
      <c r="L24" s="704"/>
      <c r="M24" s="704"/>
      <c r="N24" s="705" t="s">
        <v>702</v>
      </c>
      <c r="O24" s="706" t="s">
        <v>703</v>
      </c>
    </row>
    <row r="25" spans="1:15" s="707" customFormat="1" ht="19.5" customHeight="1" x14ac:dyDescent="0.2">
      <c r="A25" s="701">
        <f>Led!D20</f>
        <v>19</v>
      </c>
      <c r="B25" s="702">
        <f>Led!E20</f>
        <v>3</v>
      </c>
      <c r="C25" s="703" t="str">
        <f>IF(ISNUMBER(A25),(IF(Led!F20=Led!$Q$94,Led!F20,IF(ISBLANK($C$5),"",Led!F20))),"")</f>
        <v/>
      </c>
      <c r="D25" s="703" t="str">
        <f>Led!CS20</f>
        <v>3-06</v>
      </c>
      <c r="E25" s="704"/>
      <c r="F25" s="704"/>
      <c r="G25" s="704"/>
      <c r="H25" s="704"/>
      <c r="I25" s="704"/>
      <c r="J25" s="704"/>
      <c r="K25" s="704"/>
      <c r="L25" s="704"/>
      <c r="M25" s="704"/>
      <c r="N25" s="705" t="s">
        <v>704</v>
      </c>
      <c r="O25" s="706" t="s">
        <v>705</v>
      </c>
    </row>
    <row r="26" spans="1:15" s="707" customFormat="1" ht="19.5" customHeight="1" x14ac:dyDescent="0.2">
      <c r="A26" s="701">
        <f>Led!D21</f>
        <v>20</v>
      </c>
      <c r="B26" s="702">
        <f>Led!E21</f>
        <v>3</v>
      </c>
      <c r="C26" s="703" t="str">
        <f>IF(ISNUMBER(A26),(IF(Led!F21=Led!$Q$94,Led!F21,IF(ISBLANK($C$5),"",Led!F21))),"")</f>
        <v/>
      </c>
      <c r="D26" s="703" t="str">
        <f>Led!CS21</f>
        <v>3-07</v>
      </c>
      <c r="E26" s="704"/>
      <c r="F26" s="704"/>
      <c r="G26" s="704"/>
      <c r="H26" s="704"/>
      <c r="I26" s="704"/>
      <c r="J26" s="704"/>
      <c r="K26" s="704"/>
      <c r="L26" s="704"/>
      <c r="M26" s="704"/>
      <c r="N26" s="705" t="s">
        <v>706</v>
      </c>
      <c r="O26" s="706" t="s">
        <v>707</v>
      </c>
    </row>
    <row r="27" spans="1:15" s="707" customFormat="1" ht="19.5" customHeight="1" x14ac:dyDescent="0.2">
      <c r="A27" s="701">
        <f>Led!D22</f>
        <v>21</v>
      </c>
      <c r="B27" s="702">
        <f>Led!E22</f>
        <v>3</v>
      </c>
      <c r="C27" s="703" t="str">
        <f>IF(ISNUMBER(A27),(IF(Led!F22=Led!$Q$94,Led!F22,IF(ISBLANK($C$5),"",Led!F22))),"")</f>
        <v/>
      </c>
      <c r="D27" s="703" t="str">
        <f>Led!CS22</f>
        <v>3-04</v>
      </c>
      <c r="E27" s="704"/>
      <c r="F27" s="704"/>
      <c r="G27" s="704"/>
      <c r="H27" s="704"/>
      <c r="I27" s="704"/>
      <c r="J27" s="704"/>
      <c r="K27" s="704"/>
      <c r="L27" s="704"/>
      <c r="M27" s="704"/>
      <c r="N27" s="705" t="s">
        <v>708</v>
      </c>
      <c r="O27" s="706" t="s">
        <v>709</v>
      </c>
    </row>
    <row r="28" spans="1:15" s="707" customFormat="1" ht="19.5" customHeight="1" x14ac:dyDescent="0.2">
      <c r="A28" s="701">
        <f>Led!D23</f>
        <v>22</v>
      </c>
      <c r="B28" s="702">
        <f>Led!E23</f>
        <v>4</v>
      </c>
      <c r="C28" s="703" t="str">
        <f>IF(ISNUMBER(A28),(IF(Led!F23=Led!$Q$94,Led!F23,IF(ISBLANK($C$5),"",Led!F23))),"")</f>
        <v/>
      </c>
      <c r="D28" s="703" t="str">
        <f>Led!CS23</f>
        <v>4-05</v>
      </c>
      <c r="E28" s="704"/>
      <c r="F28" s="704"/>
      <c r="G28" s="704"/>
      <c r="H28" s="704"/>
      <c r="I28" s="704"/>
      <c r="J28" s="704"/>
      <c r="K28" s="704"/>
      <c r="L28" s="704"/>
      <c r="M28" s="704"/>
      <c r="N28" s="705" t="s">
        <v>710</v>
      </c>
      <c r="O28" s="706" t="s">
        <v>711</v>
      </c>
    </row>
    <row r="29" spans="1:15" s="707" customFormat="1" ht="19.5" customHeight="1" x14ac:dyDescent="0.2">
      <c r="A29" s="701">
        <f>Led!D24</f>
        <v>23</v>
      </c>
      <c r="B29" s="702">
        <f>Led!E24</f>
        <v>4</v>
      </c>
      <c r="C29" s="703" t="str">
        <f>IF(ISNUMBER(A29),(IF(Led!F24=Led!$Q$94,Led!F24,IF(ISBLANK($C$5),"",Led!F24))),"")</f>
        <v/>
      </c>
      <c r="D29" s="703" t="str">
        <f>Led!CS24</f>
        <v>4-07</v>
      </c>
      <c r="E29" s="704"/>
      <c r="F29" s="704"/>
      <c r="G29" s="704"/>
      <c r="H29" s="704"/>
      <c r="I29" s="704"/>
      <c r="J29" s="704"/>
      <c r="K29" s="704"/>
      <c r="L29" s="704"/>
      <c r="M29" s="704"/>
      <c r="N29" s="705" t="s">
        <v>712</v>
      </c>
      <c r="O29" s="706" t="s">
        <v>713</v>
      </c>
    </row>
    <row r="30" spans="1:15" s="707" customFormat="1" ht="19.5" customHeight="1" x14ac:dyDescent="0.2">
      <c r="A30" s="701">
        <f>Led!D25</f>
        <v>24</v>
      </c>
      <c r="B30" s="702">
        <f>Led!E25</f>
        <v>4</v>
      </c>
      <c r="C30" s="703">
        <f>IF(ISNUMBER(A30),(IF(Led!F25=Led!$Q$94,Led!F25,IF(ISBLANK($C$5),"",Led!F25))),"")</f>
        <v>1</v>
      </c>
      <c r="D30" s="703" t="str">
        <f>Led!CS25</f>
        <v>4-01</v>
      </c>
      <c r="E30" s="704"/>
      <c r="F30" s="704"/>
      <c r="G30" s="704"/>
      <c r="H30" s="704"/>
      <c r="I30" s="704"/>
      <c r="J30" s="704"/>
      <c r="K30" s="704"/>
      <c r="L30" s="704"/>
      <c r="M30" s="704"/>
      <c r="N30" s="705" t="s">
        <v>716</v>
      </c>
      <c r="O30" s="706" t="s">
        <v>717</v>
      </c>
    </row>
    <row r="31" spans="1:15" s="707" customFormat="1" ht="19.5" customHeight="1" x14ac:dyDescent="0.2">
      <c r="A31" s="701">
        <f>Led!D26</f>
        <v>25</v>
      </c>
      <c r="B31" s="702">
        <f>Led!E26</f>
        <v>4</v>
      </c>
      <c r="C31" s="703" t="str">
        <f>IF(ISNUMBER(A31),(IF(Led!F26=Led!$Q$94,Led!F26,IF(ISBLANK($C$5),"",Led!F26))),"")</f>
        <v/>
      </c>
      <c r="D31" s="703" t="str">
        <f>Led!CS26</f>
        <v>4-04</v>
      </c>
      <c r="E31" s="704"/>
      <c r="F31" s="704"/>
      <c r="G31" s="704"/>
      <c r="H31" s="704"/>
      <c r="I31" s="704"/>
      <c r="J31" s="704"/>
      <c r="K31" s="704"/>
      <c r="L31" s="704"/>
      <c r="M31" s="704"/>
      <c r="N31" s="705" t="s">
        <v>718</v>
      </c>
      <c r="O31" s="706" t="s">
        <v>719</v>
      </c>
    </row>
    <row r="32" spans="1:15" s="707" customFormat="1" ht="19.5" customHeight="1" x14ac:dyDescent="0.2">
      <c r="A32" s="701">
        <f>Led!D27</f>
        <v>26</v>
      </c>
      <c r="B32" s="702">
        <f>Led!E27</f>
        <v>4</v>
      </c>
      <c r="C32" s="703" t="str">
        <f>IF(ISNUMBER(A32),(IF(Led!F27=Led!$Q$94,Led!F27,IF(ISBLANK($C$5),"",Led!F27))),"")</f>
        <v/>
      </c>
      <c r="D32" s="703" t="str">
        <f>Led!CS27</f>
        <v>4-02</v>
      </c>
      <c r="E32" s="704"/>
      <c r="F32" s="704"/>
      <c r="G32" s="704"/>
      <c r="H32" s="704"/>
      <c r="I32" s="704"/>
      <c r="J32" s="704"/>
      <c r="K32" s="704"/>
      <c r="L32" s="704"/>
      <c r="M32" s="704"/>
      <c r="N32" s="705" t="s">
        <v>720</v>
      </c>
      <c r="O32" s="706" t="s">
        <v>721</v>
      </c>
    </row>
    <row r="33" spans="1:15" s="707" customFormat="1" ht="19.5" customHeight="1" x14ac:dyDescent="0.2">
      <c r="A33" s="701">
        <f>Led!D28</f>
        <v>27</v>
      </c>
      <c r="B33" s="702">
        <f>Led!E28</f>
        <v>4</v>
      </c>
      <c r="C33" s="703" t="str">
        <f>IF(ISNUMBER(A33),(IF(Led!F28=Led!$Q$94,Led!F28,IF(ISBLANK($C$5),"",Led!F28))),"")</f>
        <v/>
      </c>
      <c r="D33" s="703" t="str">
        <f>Led!CS28</f>
        <v>4-06</v>
      </c>
      <c r="E33" s="704"/>
      <c r="F33" s="704"/>
      <c r="G33" s="704"/>
      <c r="H33" s="704"/>
      <c r="I33" s="704"/>
      <c r="J33" s="704"/>
      <c r="K33" s="704"/>
      <c r="L33" s="704"/>
      <c r="M33" s="704"/>
      <c r="N33" s="711" t="s">
        <v>722</v>
      </c>
      <c r="O33" s="706" t="s">
        <v>723</v>
      </c>
    </row>
    <row r="34" spans="1:15" s="707" customFormat="1" ht="19.5" customHeight="1" x14ac:dyDescent="0.2">
      <c r="A34" s="701">
        <f>Led!D29</f>
        <v>28</v>
      </c>
      <c r="B34" s="702">
        <f>Led!E29</f>
        <v>4</v>
      </c>
      <c r="C34" s="703" t="str">
        <f>IF(ISNUMBER(A34),(IF(Led!F29=Led!$Q$94,Led!F29,IF(ISBLANK($C$5),"",Led!F29))),"")</f>
        <v/>
      </c>
      <c r="D34" s="703" t="str">
        <f>Led!CS29</f>
        <v>4-03</v>
      </c>
      <c r="E34" s="704"/>
      <c r="F34" s="704"/>
      <c r="G34" s="704"/>
      <c r="H34" s="704"/>
      <c r="I34" s="704"/>
      <c r="J34" s="704"/>
      <c r="K34" s="704"/>
      <c r="L34" s="704"/>
      <c r="M34" s="704"/>
      <c r="N34" s="711" t="s">
        <v>724</v>
      </c>
      <c r="O34" s="706" t="s">
        <v>725</v>
      </c>
    </row>
    <row r="35" spans="1:15" s="707" customFormat="1" ht="19.5" customHeight="1" x14ac:dyDescent="0.2">
      <c r="A35" s="701" t="str">
        <f>Led!D30</f>
        <v/>
      </c>
      <c r="B35" s="702" t="str">
        <f>Led!E30</f>
        <v/>
      </c>
      <c r="C35" s="703" t="str">
        <f>IF(ISNUMBER(A35),(IF(Led!F30=Led!$Q$94,Led!F30,IF(ISBLANK($C$5),"",Led!F30))),"")</f>
        <v/>
      </c>
      <c r="D35" s="703" t="str">
        <f>Led!CS30</f>
        <v/>
      </c>
      <c r="E35" s="704"/>
      <c r="F35" s="704"/>
      <c r="G35" s="704"/>
      <c r="H35" s="704"/>
      <c r="I35" s="704"/>
      <c r="J35" s="704"/>
      <c r="K35" s="704"/>
      <c r="L35" s="704"/>
      <c r="M35" s="704"/>
      <c r="N35" s="709" t="s">
        <v>726</v>
      </c>
      <c r="O35" s="710" t="s">
        <v>727</v>
      </c>
    </row>
    <row r="36" spans="1:15" s="707" customFormat="1" ht="19.5" customHeight="1" x14ac:dyDescent="0.2">
      <c r="A36" s="701" t="str">
        <f>Led!D31</f>
        <v/>
      </c>
      <c r="B36" s="702" t="str">
        <f>Led!E31</f>
        <v/>
      </c>
      <c r="C36" s="703" t="str">
        <f>IF(ISNUMBER(A36),(IF(Led!F31=Led!$Q$94,Led!F31,IF(ISBLANK($C$5),"",Led!F31))),"")</f>
        <v/>
      </c>
      <c r="D36" s="703" t="str">
        <f>Led!CS31</f>
        <v/>
      </c>
      <c r="E36" s="704"/>
      <c r="F36" s="704"/>
      <c r="G36" s="704"/>
      <c r="H36" s="704"/>
      <c r="I36" s="704"/>
      <c r="J36" s="704"/>
      <c r="K36" s="704"/>
      <c r="L36" s="704"/>
      <c r="M36" s="704"/>
      <c r="N36" s="709" t="s">
        <v>714</v>
      </c>
      <c r="O36" s="710" t="s">
        <v>715</v>
      </c>
    </row>
    <row r="37" spans="1:15" s="707" customFormat="1" ht="19.5" customHeight="1" x14ac:dyDescent="0.2">
      <c r="A37" s="701" t="str">
        <f>Led!D32</f>
        <v/>
      </c>
      <c r="B37" s="702" t="str">
        <f>Led!E32</f>
        <v/>
      </c>
      <c r="C37" s="703" t="str">
        <f>IF(ISNUMBER(A37),(IF(Led!F32=Led!$Q$94,Led!F32,IF(ISBLANK($C$5),"",Led!F32))),"")</f>
        <v/>
      </c>
      <c r="D37" s="703" t="str">
        <f>Led!CS32</f>
        <v/>
      </c>
      <c r="E37" s="704"/>
      <c r="F37" s="704"/>
      <c r="G37" s="704"/>
      <c r="H37" s="704"/>
      <c r="I37" s="704"/>
      <c r="J37" s="704"/>
      <c r="K37" s="704"/>
      <c r="L37" s="704"/>
      <c r="M37" s="704"/>
      <c r="N37" s="712" t="s">
        <v>1187</v>
      </c>
      <c r="O37" s="713" t="s">
        <v>1188</v>
      </c>
    </row>
    <row r="38" spans="1:15" s="707" customFormat="1" ht="19.5" customHeight="1" x14ac:dyDescent="0.2">
      <c r="A38" s="701" t="str">
        <f>Led!D33</f>
        <v/>
      </c>
      <c r="B38" s="702" t="str">
        <f>Led!E33</f>
        <v/>
      </c>
      <c r="C38" s="703" t="str">
        <f>IF(ISNUMBER(A38),(IF(Led!F33=Led!$Q$94,Led!F33,IF(ISBLANK($C$5),"",Led!F33))),"")</f>
        <v/>
      </c>
      <c r="D38" s="703" t="str">
        <f>Led!CS33</f>
        <v/>
      </c>
      <c r="E38" s="704"/>
      <c r="F38" s="704"/>
      <c r="G38" s="704"/>
      <c r="H38" s="704"/>
      <c r="I38" s="704"/>
      <c r="J38" s="704"/>
      <c r="K38" s="704"/>
      <c r="L38" s="704"/>
      <c r="M38" s="704"/>
      <c r="N38" s="711" t="s">
        <v>1189</v>
      </c>
      <c r="O38" s="706" t="s">
        <v>1190</v>
      </c>
    </row>
    <row r="39" spans="1:15" s="707" customFormat="1" ht="19.5" customHeight="1" x14ac:dyDescent="0.2">
      <c r="A39" s="701" t="str">
        <f>Led!D34</f>
        <v/>
      </c>
      <c r="B39" s="702" t="str">
        <f>Led!E34</f>
        <v/>
      </c>
      <c r="C39" s="703" t="str">
        <f>IF(ISNUMBER(A39),(IF(Led!F34=Led!$Q$94,Led!F34,IF(ISBLANK($C$5),"",Led!F34))),"")</f>
        <v/>
      </c>
      <c r="D39" s="703" t="str">
        <f>Led!CS34</f>
        <v/>
      </c>
      <c r="E39" s="704"/>
      <c r="F39" s="704"/>
      <c r="G39" s="704"/>
      <c r="H39" s="704"/>
      <c r="I39" s="704"/>
      <c r="J39" s="704"/>
      <c r="K39" s="704"/>
      <c r="L39" s="704"/>
      <c r="M39" s="704"/>
      <c r="N39" s="711" t="s">
        <v>1192</v>
      </c>
      <c r="O39" s="706" t="s">
        <v>1191</v>
      </c>
    </row>
    <row r="40" spans="1:15" s="707" customFormat="1" ht="19.5" customHeight="1" x14ac:dyDescent="0.2">
      <c r="A40" s="701" t="str">
        <f>Led!D35</f>
        <v/>
      </c>
      <c r="B40" s="702" t="str">
        <f>Led!E35</f>
        <v/>
      </c>
      <c r="C40" s="703" t="str">
        <f>IF(ISNUMBER(A40),(IF(Led!F35=Led!$Q$94,Led!F35,IF(ISBLANK($C$5),"",Led!F35))),"")</f>
        <v/>
      </c>
      <c r="D40" s="703" t="str">
        <f>Led!CS35</f>
        <v/>
      </c>
      <c r="E40" s="704"/>
      <c r="F40" s="704"/>
      <c r="G40" s="704"/>
      <c r="H40" s="704"/>
      <c r="I40" s="704"/>
      <c r="J40" s="704"/>
      <c r="K40" s="704"/>
      <c r="L40" s="704"/>
      <c r="M40" s="704"/>
      <c r="N40" s="711" t="s">
        <v>1194</v>
      </c>
      <c r="O40" s="706" t="s">
        <v>1193</v>
      </c>
    </row>
    <row r="41" spans="1:15" s="707" customFormat="1" ht="19.5" customHeight="1" x14ac:dyDescent="0.2">
      <c r="A41" s="701" t="str">
        <f>Led!D36</f>
        <v/>
      </c>
      <c r="B41" s="702" t="str">
        <f>Led!E36</f>
        <v/>
      </c>
      <c r="C41" s="703" t="str">
        <f>IF(ISNUMBER(A41),(IF(Led!F36=Led!$Q$94,Led!F36,IF(ISBLANK($C$5),"",Led!F36))),"")</f>
        <v/>
      </c>
      <c r="D41" s="703" t="str">
        <f>Led!CS36</f>
        <v/>
      </c>
      <c r="E41" s="704"/>
      <c r="F41" s="704"/>
      <c r="G41" s="704"/>
      <c r="H41" s="704"/>
      <c r="I41" s="704"/>
      <c r="J41" s="704"/>
      <c r="K41" s="704"/>
      <c r="L41" s="704"/>
      <c r="M41" s="704"/>
      <c r="N41" s="711" t="s">
        <v>772</v>
      </c>
      <c r="O41" s="706" t="s">
        <v>1195</v>
      </c>
    </row>
    <row r="42" spans="1:15" s="707" customFormat="1" ht="19.5" customHeight="1" x14ac:dyDescent="0.2">
      <c r="A42" s="701" t="str">
        <f>Led!D37</f>
        <v/>
      </c>
      <c r="B42" s="702" t="str">
        <f>Led!E37</f>
        <v/>
      </c>
      <c r="C42" s="703" t="str">
        <f>IF(ISNUMBER(A42),(IF(Led!F37=Led!$Q$94,Led!F37,IF(ISBLANK($C$5),"",Led!F37))),"")</f>
        <v/>
      </c>
      <c r="D42" s="703" t="str">
        <f>Led!CS37</f>
        <v/>
      </c>
      <c r="E42" s="704"/>
      <c r="F42" s="704"/>
      <c r="G42" s="704"/>
      <c r="H42" s="704"/>
      <c r="I42" s="704"/>
      <c r="J42" s="704"/>
      <c r="K42" s="704"/>
      <c r="L42" s="704"/>
      <c r="M42" s="704"/>
      <c r="N42" s="709" t="s">
        <v>1197</v>
      </c>
      <c r="O42" s="710" t="s">
        <v>1196</v>
      </c>
    </row>
    <row r="43" spans="1:15" s="707" customFormat="1" ht="19.5" customHeight="1" x14ac:dyDescent="0.2">
      <c r="A43" s="701" t="str">
        <f>Led!D38</f>
        <v/>
      </c>
      <c r="B43" s="702" t="str">
        <f>Led!E38</f>
        <v/>
      </c>
      <c r="C43" s="703" t="str">
        <f>IF(ISNUMBER(A43),(IF(Led!F38=Led!$Q$94,Led!F38,IF(ISBLANK($C$5),"",Led!F38))),"")</f>
        <v/>
      </c>
      <c r="D43" s="703" t="str">
        <f>Led!CS38</f>
        <v/>
      </c>
      <c r="E43" s="704"/>
      <c r="F43" s="704"/>
      <c r="G43" s="704"/>
      <c r="H43" s="704"/>
      <c r="I43" s="704"/>
      <c r="J43" s="704"/>
      <c r="K43" s="704"/>
      <c r="L43" s="704"/>
      <c r="M43" s="704"/>
      <c r="N43" s="714" t="s">
        <v>954</v>
      </c>
      <c r="O43" s="715"/>
    </row>
    <row r="44" spans="1:15" s="707" customFormat="1" ht="19.5" customHeight="1" x14ac:dyDescent="0.2">
      <c r="A44" s="701" t="str">
        <f>Led!D39</f>
        <v/>
      </c>
      <c r="B44" s="702" t="str">
        <f>Led!E39</f>
        <v/>
      </c>
      <c r="C44" s="703" t="str">
        <f>IF(ISNUMBER(A44),(IF(Led!F39=Led!$Q$94,Led!F39,IF(ISBLANK($C$5),"",Led!F39))),"")</f>
        <v/>
      </c>
      <c r="D44" s="703" t="str">
        <f>Led!CS39</f>
        <v/>
      </c>
      <c r="E44" s="704"/>
      <c r="F44" s="704"/>
      <c r="G44" s="704"/>
      <c r="H44" s="704"/>
      <c r="I44" s="704"/>
      <c r="J44" s="704"/>
      <c r="K44" s="704"/>
      <c r="L44" s="704"/>
      <c r="M44" s="704"/>
      <c r="N44" s="716" t="s">
        <v>482</v>
      </c>
      <c r="O44" s="717" t="s">
        <v>947</v>
      </c>
    </row>
    <row r="45" spans="1:15" s="707" customFormat="1" ht="19.5" customHeight="1" x14ac:dyDescent="0.2">
      <c r="A45" s="701" t="str">
        <f>Led!D40</f>
        <v/>
      </c>
      <c r="B45" s="702" t="str">
        <f>Led!E40</f>
        <v/>
      </c>
      <c r="C45" s="703" t="str">
        <f>IF(ISNUMBER(A45),(IF(Led!F40=Led!$Q$94,Led!F40,IF(ISBLANK($C$5),"",Led!F40))),"")</f>
        <v/>
      </c>
      <c r="D45" s="703" t="str">
        <f>Led!CS40</f>
        <v/>
      </c>
      <c r="E45" s="704"/>
      <c r="F45" s="704"/>
      <c r="G45" s="704"/>
      <c r="H45" s="704"/>
      <c r="I45" s="704"/>
      <c r="J45" s="704"/>
      <c r="K45" s="704"/>
      <c r="L45" s="704"/>
      <c r="M45" s="704"/>
      <c r="N45" s="718">
        <v>10</v>
      </c>
      <c r="O45" s="719" t="s">
        <v>812</v>
      </c>
    </row>
    <row r="46" spans="1:15" s="707" customFormat="1" ht="19.5" customHeight="1" x14ac:dyDescent="0.2">
      <c r="A46" s="701" t="str">
        <f>Led!D41</f>
        <v/>
      </c>
      <c r="B46" s="702" t="str">
        <f>Led!E41</f>
        <v/>
      </c>
      <c r="C46" s="703" t="str">
        <f>IF(ISNUMBER(A46),(IF(Led!F41=Led!$Q$94,Led!F41,IF(ISBLANK($C$5),"",Led!F41))),"")</f>
        <v/>
      </c>
      <c r="D46" s="703" t="str">
        <f>Led!CS41</f>
        <v/>
      </c>
      <c r="E46" s="704"/>
      <c r="F46" s="704"/>
      <c r="G46" s="704"/>
      <c r="H46" s="704"/>
      <c r="I46" s="704"/>
      <c r="J46" s="704"/>
      <c r="K46" s="704"/>
      <c r="L46" s="704"/>
      <c r="M46" s="704"/>
      <c r="N46" s="718" t="s">
        <v>813</v>
      </c>
      <c r="O46" s="719" t="s">
        <v>940</v>
      </c>
    </row>
    <row r="47" spans="1:15" s="707" customFormat="1" ht="19.5" customHeight="1" x14ac:dyDescent="0.2">
      <c r="A47" s="701" t="str">
        <f>Led!D42</f>
        <v/>
      </c>
      <c r="B47" s="702" t="str">
        <f>Led!E42</f>
        <v/>
      </c>
      <c r="C47" s="703" t="str">
        <f>IF(ISNUMBER(A47),(IF(Led!F42=Led!$Q$94,Led!F42,IF(ISBLANK($C$5),"",Led!F42))),"")</f>
        <v/>
      </c>
      <c r="D47" s="703" t="str">
        <f>Led!CS42</f>
        <v/>
      </c>
      <c r="E47" s="704"/>
      <c r="F47" s="704"/>
      <c r="G47" s="704"/>
      <c r="H47" s="704"/>
      <c r="I47" s="704"/>
      <c r="J47" s="704"/>
      <c r="K47" s="704"/>
      <c r="L47" s="704"/>
      <c r="M47" s="704"/>
      <c r="N47" s="718" t="s">
        <v>815</v>
      </c>
      <c r="O47" s="719" t="s">
        <v>816</v>
      </c>
    </row>
    <row r="48" spans="1:15" s="707" customFormat="1" ht="19.5" customHeight="1" x14ac:dyDescent="0.2">
      <c r="A48" s="701" t="str">
        <f>Led!D43</f>
        <v/>
      </c>
      <c r="B48" s="702" t="str">
        <f>Led!E43</f>
        <v/>
      </c>
      <c r="C48" s="703" t="str">
        <f>IF(ISNUMBER(A48),(IF(Led!F43=Led!$Q$94,Led!F43,IF(ISBLANK($C$5),"",Led!F43))),"")</f>
        <v/>
      </c>
      <c r="D48" s="703" t="str">
        <f>Led!CS43</f>
        <v/>
      </c>
      <c r="E48" s="704"/>
      <c r="F48" s="704"/>
      <c r="G48" s="704"/>
      <c r="H48" s="704"/>
      <c r="I48" s="704"/>
      <c r="J48" s="704"/>
      <c r="K48" s="704"/>
      <c r="L48" s="704"/>
      <c r="M48" s="704"/>
      <c r="N48" s="718">
        <v>30</v>
      </c>
      <c r="O48" s="719" t="s">
        <v>941</v>
      </c>
    </row>
    <row r="49" spans="1:15" s="707" customFormat="1" ht="19.5" customHeight="1" x14ac:dyDescent="0.2">
      <c r="A49" s="701" t="str">
        <f>Led!D44</f>
        <v/>
      </c>
      <c r="B49" s="702" t="str">
        <f>Led!E44</f>
        <v/>
      </c>
      <c r="C49" s="703" t="str">
        <f>IF(ISNUMBER(A49),(IF(Led!F44=Led!$Q$94,Led!F44,IF(ISBLANK($C$5),"",Led!F44))),"")</f>
        <v/>
      </c>
      <c r="D49" s="703" t="str">
        <f>Led!CS44</f>
        <v/>
      </c>
      <c r="E49" s="704"/>
      <c r="F49" s="704"/>
      <c r="G49" s="704"/>
      <c r="H49" s="708"/>
      <c r="I49" s="704"/>
      <c r="J49" s="704"/>
      <c r="K49" s="704"/>
      <c r="L49" s="704"/>
      <c r="M49" s="704"/>
      <c r="N49" s="718" t="s">
        <v>818</v>
      </c>
      <c r="O49" s="719" t="s">
        <v>942</v>
      </c>
    </row>
    <row r="50" spans="1:15" s="707" customFormat="1" ht="19.5" customHeight="1" x14ac:dyDescent="0.2">
      <c r="A50" s="701" t="str">
        <f>Led!D45</f>
        <v/>
      </c>
      <c r="B50" s="702" t="str">
        <f>Led!E45</f>
        <v/>
      </c>
      <c r="C50" s="703" t="str">
        <f>IF(ISNUMBER(A50),(IF(Led!F45=Led!$Q$94,Led!F45,IF(ISBLANK($C$5),"",Led!F45))),"")</f>
        <v/>
      </c>
      <c r="D50" s="703" t="str">
        <f>Led!CS45</f>
        <v/>
      </c>
      <c r="E50" s="704"/>
      <c r="F50" s="704"/>
      <c r="G50" s="704"/>
      <c r="H50" s="704"/>
      <c r="I50" s="704"/>
      <c r="J50" s="704"/>
      <c r="K50" s="704"/>
      <c r="L50" s="704"/>
      <c r="M50" s="704"/>
      <c r="N50" s="718" t="s">
        <v>820</v>
      </c>
      <c r="O50" s="719" t="s">
        <v>943</v>
      </c>
    </row>
    <row r="51" spans="1:15" s="707" customFormat="1" ht="19.5" customHeight="1" x14ac:dyDescent="0.2">
      <c r="A51" s="701" t="str">
        <f>Led!D46</f>
        <v/>
      </c>
      <c r="B51" s="702" t="str">
        <f>Led!E46</f>
        <v/>
      </c>
      <c r="C51" s="703" t="str">
        <f>IF(ISNUMBER(A51),(IF(Led!F46=Led!$Q$94,Led!F46,IF(ISBLANK($C$5),"",Led!F46))),"")</f>
        <v/>
      </c>
      <c r="D51" s="703" t="str">
        <f>Led!CS46</f>
        <v/>
      </c>
      <c r="E51" s="704"/>
      <c r="F51" s="704"/>
      <c r="G51" s="704"/>
      <c r="H51" s="704"/>
      <c r="I51" s="704"/>
      <c r="J51" s="704"/>
      <c r="K51" s="704"/>
      <c r="L51" s="704"/>
      <c r="M51" s="704"/>
      <c r="N51" s="718" t="s">
        <v>821</v>
      </c>
      <c r="O51" s="719" t="s">
        <v>822</v>
      </c>
    </row>
    <row r="52" spans="1:15" s="707" customFormat="1" ht="19.5" customHeight="1" x14ac:dyDescent="0.2">
      <c r="A52" s="701" t="str">
        <f>Led!D47</f>
        <v/>
      </c>
      <c r="B52" s="702" t="str">
        <f>Led!E47</f>
        <v/>
      </c>
      <c r="C52" s="703" t="str">
        <f>IF(ISNUMBER(A52),(IF(Led!F47=Led!$Q$94,Led!F47,IF(ISBLANK($C$5),"",Led!F47))),"")</f>
        <v/>
      </c>
      <c r="D52" s="703" t="str">
        <f>Led!CS47</f>
        <v/>
      </c>
      <c r="E52" s="704"/>
      <c r="F52" s="704"/>
      <c r="G52" s="704"/>
      <c r="H52" s="704"/>
      <c r="I52" s="704"/>
      <c r="J52" s="704"/>
      <c r="K52" s="704"/>
      <c r="L52" s="704"/>
      <c r="M52" s="704"/>
      <c r="N52" s="718" t="s">
        <v>823</v>
      </c>
      <c r="O52" s="720" t="s">
        <v>944</v>
      </c>
    </row>
    <row r="53" spans="1:15" s="707" customFormat="1" ht="19.5" customHeight="1" x14ac:dyDescent="0.2">
      <c r="A53" s="701" t="str">
        <f>Led!D48</f>
        <v/>
      </c>
      <c r="B53" s="702" t="str">
        <f>Led!E48</f>
        <v/>
      </c>
      <c r="C53" s="703" t="str">
        <f>IF(ISNUMBER(A53),(IF(Led!F48=Led!$Q$94,Led!F48,IF(ISBLANK($C$5),"",Led!F48))),"")</f>
        <v/>
      </c>
      <c r="D53" s="703" t="str">
        <f>Led!CS48</f>
        <v/>
      </c>
      <c r="E53" s="704"/>
      <c r="F53" s="704"/>
      <c r="G53" s="704"/>
      <c r="H53" s="704"/>
      <c r="I53" s="704"/>
      <c r="J53" s="704"/>
      <c r="K53" s="704"/>
      <c r="L53" s="704"/>
      <c r="M53" s="704"/>
      <c r="N53" s="718" t="s">
        <v>825</v>
      </c>
      <c r="O53" s="719" t="s">
        <v>946</v>
      </c>
    </row>
    <row r="54" spans="1:15" s="707" customFormat="1" ht="19.5" customHeight="1" x14ac:dyDescent="0.2">
      <c r="A54" s="701" t="str">
        <f>Led!D49</f>
        <v/>
      </c>
      <c r="B54" s="702" t="str">
        <f>Led!E49</f>
        <v/>
      </c>
      <c r="C54" s="703" t="str">
        <f>IF(ISNUMBER(A54),(IF(Led!F49=Led!$Q$94,Led!F49,IF(ISBLANK($C$5),"",Led!F49))),"")</f>
        <v/>
      </c>
      <c r="D54" s="703" t="str">
        <f>Led!CS49</f>
        <v/>
      </c>
      <c r="E54" s="704"/>
      <c r="F54" s="704"/>
      <c r="G54" s="704"/>
      <c r="H54" s="704"/>
      <c r="I54" s="704"/>
      <c r="J54" s="704"/>
      <c r="K54" s="704"/>
      <c r="L54" s="704"/>
      <c r="M54" s="704"/>
      <c r="N54" s="718" t="s">
        <v>827</v>
      </c>
      <c r="O54" s="719" t="s">
        <v>945</v>
      </c>
    </row>
    <row r="55" spans="1:15" s="707" customFormat="1" ht="19.5" customHeight="1" x14ac:dyDescent="0.2">
      <c r="A55" s="701" t="str">
        <f>Led!D50</f>
        <v/>
      </c>
      <c r="B55" s="702" t="str">
        <f>Led!E50</f>
        <v/>
      </c>
      <c r="C55" s="703" t="str">
        <f>IF(ISNUMBER(A55),(IF(Led!F50=Led!$Q$94,Led!F50,IF(ISBLANK($C$5),"",Led!F50))),"")</f>
        <v/>
      </c>
      <c r="D55" s="703" t="str">
        <f>Led!CS50</f>
        <v/>
      </c>
      <c r="E55" s="704"/>
      <c r="F55" s="704"/>
      <c r="G55" s="704"/>
      <c r="H55" s="704"/>
      <c r="I55" s="704"/>
      <c r="J55" s="704"/>
      <c r="K55" s="704"/>
      <c r="L55" s="704"/>
      <c r="M55" s="704"/>
      <c r="N55" s="718" t="s">
        <v>829</v>
      </c>
      <c r="O55" s="719" t="s">
        <v>830</v>
      </c>
    </row>
    <row r="56" spans="1:15" s="707" customFormat="1" ht="19.5" customHeight="1" x14ac:dyDescent="0.2">
      <c r="A56" s="701" t="str">
        <f>Led!D51</f>
        <v/>
      </c>
      <c r="B56" s="702" t="str">
        <f>Led!E51</f>
        <v/>
      </c>
      <c r="C56" s="703" t="str">
        <f>IF(ISNUMBER(A56),(IF(Led!F51=Led!$Q$94,Led!F51,IF(ISBLANK($C$5),"",Led!F51))),"")</f>
        <v/>
      </c>
      <c r="D56" s="703" t="str">
        <f>Led!CS51</f>
        <v/>
      </c>
      <c r="E56" s="704"/>
      <c r="F56" s="704"/>
      <c r="G56" s="704"/>
      <c r="H56" s="704"/>
      <c r="I56" s="704"/>
      <c r="J56" s="704"/>
      <c r="K56" s="704"/>
      <c r="L56" s="704"/>
      <c r="M56" s="704"/>
      <c r="N56" s="721" t="s">
        <v>831</v>
      </c>
      <c r="O56" s="722" t="s">
        <v>502</v>
      </c>
    </row>
    <row r="57" spans="1:15" s="707" customFormat="1" ht="19.5" customHeight="1" x14ac:dyDescent="0.2">
      <c r="A57" s="701" t="str">
        <f>Led!D52</f>
        <v/>
      </c>
      <c r="B57" s="702" t="str">
        <f>Led!E52</f>
        <v/>
      </c>
      <c r="C57" s="703" t="str">
        <f>IF(ISNUMBER(A57),(IF(Led!F52=Led!$Q$94,Led!F52,IF(ISBLANK($C$5),"",Led!F52))),"")</f>
        <v/>
      </c>
      <c r="D57" s="703" t="str">
        <f>Led!CS52</f>
        <v/>
      </c>
      <c r="E57" s="704"/>
      <c r="F57" s="704"/>
      <c r="G57" s="704"/>
      <c r="H57" s="704"/>
      <c r="I57" s="704"/>
      <c r="J57" s="704"/>
      <c r="K57" s="704"/>
      <c r="L57" s="704"/>
      <c r="M57" s="704"/>
      <c r="N57" s="723"/>
      <c r="O57" s="724"/>
    </row>
    <row r="58" spans="1:15" s="707" customFormat="1" ht="19.5" customHeight="1" x14ac:dyDescent="0.2">
      <c r="A58" s="701" t="str">
        <f>Led!D53</f>
        <v/>
      </c>
      <c r="B58" s="702" t="str">
        <f>Led!E53</f>
        <v/>
      </c>
      <c r="C58" s="703" t="str">
        <f>IF(ISNUMBER(A58),(IF(Led!F53=Led!$Q$94,Led!F53,IF(ISBLANK($C$5),"",Led!F53))),"")</f>
        <v/>
      </c>
      <c r="D58" s="703" t="str">
        <f>Led!CS53</f>
        <v/>
      </c>
      <c r="E58" s="704"/>
      <c r="F58" s="704"/>
      <c r="G58" s="704"/>
      <c r="H58" s="704"/>
      <c r="I58" s="704"/>
      <c r="J58" s="704"/>
      <c r="K58" s="704"/>
      <c r="L58" s="704"/>
      <c r="M58" s="704"/>
      <c r="N58" s="723"/>
      <c r="O58" s="724"/>
    </row>
    <row r="59" spans="1:15" s="707" customFormat="1" ht="19.5" customHeight="1" x14ac:dyDescent="0.2">
      <c r="A59" s="701" t="str">
        <f>Led!D54</f>
        <v/>
      </c>
      <c r="B59" s="702" t="str">
        <f>Led!E54</f>
        <v/>
      </c>
      <c r="C59" s="703" t="str">
        <f>IF(ISNUMBER(A59),(IF(Led!F54=Led!$Q$94,Led!F54,IF(ISBLANK($C$5),"",Led!F54))),"")</f>
        <v/>
      </c>
      <c r="D59" s="703" t="str">
        <f>Led!CS54</f>
        <v/>
      </c>
      <c r="E59" s="704"/>
      <c r="F59" s="704"/>
      <c r="G59" s="704"/>
      <c r="H59" s="704"/>
      <c r="I59" s="704"/>
      <c r="J59" s="704"/>
      <c r="K59" s="704"/>
      <c r="L59" s="704"/>
      <c r="M59" s="704"/>
      <c r="N59" s="723" t="s">
        <v>773</v>
      </c>
      <c r="O59" s="724" t="s">
        <v>774</v>
      </c>
    </row>
    <row r="60" spans="1:15" s="707" customFormat="1" ht="19.5" customHeight="1" x14ac:dyDescent="0.2">
      <c r="A60" s="701" t="str">
        <f>Led!D55</f>
        <v/>
      </c>
      <c r="B60" s="702" t="str">
        <f>Led!E55</f>
        <v/>
      </c>
      <c r="C60" s="703" t="str">
        <f>IF(ISNUMBER(A60),(IF(Led!F55=Led!$Q$94,Led!F55,IF(ISBLANK($C$5),"",Led!F55))),"")</f>
        <v/>
      </c>
      <c r="D60" s="703" t="str">
        <f>Led!CS55</f>
        <v/>
      </c>
      <c r="E60" s="704"/>
      <c r="F60" s="704"/>
      <c r="G60" s="704"/>
      <c r="H60" s="704"/>
      <c r="I60" s="704"/>
      <c r="J60" s="704"/>
      <c r="K60" s="704"/>
      <c r="L60" s="704"/>
      <c r="M60" s="704"/>
      <c r="N60" s="723" t="s">
        <v>778</v>
      </c>
      <c r="O60" s="724" t="s">
        <v>779</v>
      </c>
    </row>
    <row r="61" spans="1:15" s="707" customFormat="1" ht="19.5" customHeight="1" x14ac:dyDescent="0.2">
      <c r="A61" s="701" t="str">
        <f>Led!D56</f>
        <v/>
      </c>
      <c r="B61" s="702" t="str">
        <f>Led!E56</f>
        <v/>
      </c>
      <c r="C61" s="703" t="str">
        <f>IF(ISNUMBER(A61),(IF(Led!F56=Led!$Q$94,Led!F56,IF(ISBLANK($C$5),"",Led!F56))),"")</f>
        <v/>
      </c>
      <c r="D61" s="703" t="str">
        <f>Led!CS56</f>
        <v/>
      </c>
      <c r="E61" s="704"/>
      <c r="F61" s="704"/>
      <c r="G61" s="704"/>
      <c r="H61" s="704"/>
      <c r="I61" s="704"/>
      <c r="J61" s="704"/>
      <c r="K61" s="704"/>
      <c r="L61" s="704"/>
      <c r="M61" s="704"/>
      <c r="N61" s="723" t="s">
        <v>775</v>
      </c>
      <c r="O61" s="724" t="s">
        <v>776</v>
      </c>
    </row>
    <row r="62" spans="1:15" s="707" customFormat="1" ht="19.5" customHeight="1" x14ac:dyDescent="0.2">
      <c r="A62" s="701" t="str">
        <f>Led!D57</f>
        <v/>
      </c>
      <c r="B62" s="702" t="str">
        <f>Led!E57</f>
        <v/>
      </c>
      <c r="C62" s="703" t="str">
        <f>IF(ISNUMBER(A62),(IF(Led!F57=Led!$Q$94,Led!F57,IF(ISBLANK($C$5),"",Led!F57))),"")</f>
        <v/>
      </c>
      <c r="D62" s="703" t="str">
        <f>Led!CS57</f>
        <v/>
      </c>
      <c r="E62" s="704"/>
      <c r="F62" s="704"/>
      <c r="G62" s="704"/>
      <c r="H62" s="704"/>
      <c r="I62" s="704"/>
      <c r="J62" s="704"/>
      <c r="K62" s="704"/>
      <c r="L62" s="704"/>
      <c r="M62" s="704"/>
      <c r="N62" s="723" t="s">
        <v>780</v>
      </c>
      <c r="O62" s="724" t="s">
        <v>781</v>
      </c>
    </row>
    <row r="63" spans="1:15" s="707" customFormat="1" ht="19.5" customHeight="1" x14ac:dyDescent="0.2">
      <c r="A63" s="701" t="str">
        <f>Led!D58</f>
        <v/>
      </c>
      <c r="B63" s="702" t="str">
        <f>Led!E58</f>
        <v/>
      </c>
      <c r="C63" s="703" t="str">
        <f>IF(ISNUMBER(A63),(IF(Led!F58=Led!$Q$94,Led!F58,IF(ISBLANK($C$5),"",Led!F58))),"")</f>
        <v/>
      </c>
      <c r="D63" s="703" t="str">
        <f>Led!CS58</f>
        <v/>
      </c>
      <c r="E63" s="704"/>
      <c r="F63" s="704"/>
      <c r="G63" s="704"/>
      <c r="H63" s="704"/>
      <c r="I63" s="704"/>
      <c r="J63" s="704"/>
      <c r="K63" s="704"/>
      <c r="L63" s="704"/>
      <c r="M63" s="704"/>
      <c r="N63" s="725" t="s">
        <v>771</v>
      </c>
      <c r="O63" s="724" t="s">
        <v>782</v>
      </c>
    </row>
    <row r="64" spans="1:15" s="707" customFormat="1" ht="19.5" customHeight="1" x14ac:dyDescent="0.2">
      <c r="A64" s="701" t="str">
        <f>Led!D59</f>
        <v/>
      </c>
      <c r="B64" s="702" t="str">
        <f>Led!E59</f>
        <v/>
      </c>
      <c r="C64" s="703" t="str">
        <f>IF(ISNUMBER(A64),(IF(Led!F59=Led!$Q$94,Led!F59,IF(ISBLANK($C$5),"",Led!F59))),"")</f>
        <v/>
      </c>
      <c r="D64" s="703" t="str">
        <f>Led!CS59</f>
        <v/>
      </c>
      <c r="E64" s="704"/>
      <c r="F64" s="704"/>
      <c r="G64" s="704"/>
      <c r="H64" s="704"/>
      <c r="I64" s="704"/>
      <c r="J64" s="704"/>
      <c r="K64" s="704"/>
      <c r="L64" s="704"/>
      <c r="M64" s="704"/>
      <c r="N64" s="723" t="s">
        <v>739</v>
      </c>
      <c r="O64" s="724" t="s">
        <v>777</v>
      </c>
    </row>
    <row r="65" spans="1:15" s="707" customFormat="1" ht="19.5" customHeight="1" x14ac:dyDescent="0.2">
      <c r="A65" s="701" t="str">
        <f>Led!D60</f>
        <v/>
      </c>
      <c r="B65" s="702" t="str">
        <f>Led!E60</f>
        <v/>
      </c>
      <c r="C65" s="703" t="str">
        <f>IF(ISNUMBER(A65),(IF(Led!F60=Led!$Q$94,Led!F60,IF(ISBLANK($C$5),"",Led!F60))),"")</f>
        <v/>
      </c>
      <c r="D65" s="703" t="str">
        <f>Led!CS60</f>
        <v/>
      </c>
      <c r="E65" s="704"/>
      <c r="F65" s="704"/>
      <c r="G65" s="704"/>
      <c r="H65" s="704"/>
      <c r="I65" s="704"/>
      <c r="J65" s="704"/>
      <c r="K65" s="704"/>
      <c r="L65" s="704"/>
      <c r="M65" s="704"/>
      <c r="N65" s="723" t="s">
        <v>783</v>
      </c>
      <c r="O65" s="724" t="s">
        <v>785</v>
      </c>
    </row>
    <row r="66" spans="1:15" s="707" customFormat="1" ht="19.5" customHeight="1" x14ac:dyDescent="0.2">
      <c r="A66" s="701" t="str">
        <f>Led!D61</f>
        <v/>
      </c>
      <c r="B66" s="702" t="str">
        <f>Led!E61</f>
        <v/>
      </c>
      <c r="C66" s="703" t="str">
        <f>IF(ISNUMBER(A66),(IF(Led!F61=Led!$Q$94,Led!F61,IF(ISBLANK($C$5),"",Led!F61))),"")</f>
        <v/>
      </c>
      <c r="D66" s="703" t="str">
        <f>Led!CS61</f>
        <v/>
      </c>
      <c r="E66" s="704"/>
      <c r="F66" s="704"/>
      <c r="G66" s="704"/>
      <c r="H66" s="704"/>
      <c r="I66" s="704"/>
      <c r="J66" s="704"/>
      <c r="K66" s="704"/>
      <c r="L66" s="704"/>
      <c r="M66" s="704"/>
      <c r="N66" s="723" t="s">
        <v>784</v>
      </c>
      <c r="O66" s="724" t="s">
        <v>786</v>
      </c>
    </row>
    <row r="67" spans="1:15" s="707" customFormat="1" ht="19.5" customHeight="1" x14ac:dyDescent="0.2">
      <c r="A67" s="701" t="str">
        <f>Led!D62</f>
        <v/>
      </c>
      <c r="B67" s="702" t="str">
        <f>Led!E62</f>
        <v/>
      </c>
      <c r="C67" s="703" t="str">
        <f>IF(ISNUMBER(A67),(IF(Led!F62=Led!$Q$94,Led!F62,IF(ISBLANK($C$5),"",Led!F62))),"")</f>
        <v/>
      </c>
      <c r="D67" s="703" t="str">
        <f>Led!CS62</f>
        <v/>
      </c>
      <c r="E67" s="704"/>
      <c r="F67" s="704"/>
      <c r="G67" s="704"/>
      <c r="H67" s="704"/>
      <c r="I67" s="704"/>
      <c r="J67" s="704"/>
      <c r="K67" s="704"/>
      <c r="L67" s="704"/>
      <c r="M67" s="704"/>
      <c r="N67" s="723" t="s">
        <v>1198</v>
      </c>
      <c r="O67" s="724" t="s">
        <v>1204</v>
      </c>
    </row>
    <row r="68" spans="1:15" s="707" customFormat="1" ht="19.5" customHeight="1" x14ac:dyDescent="0.2">
      <c r="A68" s="701" t="str">
        <f>Led!D63</f>
        <v/>
      </c>
      <c r="B68" s="702" t="str">
        <f>Led!E63</f>
        <v/>
      </c>
      <c r="C68" s="703" t="str">
        <f>IF(ISNUMBER(A68),(IF(Led!F63=Led!$Q$94,Led!F63,IF(ISBLANK($C$5),"",Led!F63))),"")</f>
        <v/>
      </c>
      <c r="D68" s="703" t="str">
        <f>Led!CS63</f>
        <v/>
      </c>
      <c r="E68" s="704"/>
      <c r="F68" s="704"/>
      <c r="G68" s="704"/>
      <c r="H68" s="704"/>
      <c r="I68" s="704"/>
      <c r="J68" s="704"/>
      <c r="K68" s="704"/>
      <c r="L68" s="704"/>
      <c r="M68" s="704"/>
      <c r="N68" s="723" t="s">
        <v>1199</v>
      </c>
      <c r="O68" s="726"/>
    </row>
    <row r="69" spans="1:15" s="707" customFormat="1" ht="19.5" customHeight="1" x14ac:dyDescent="0.2">
      <c r="A69" s="701" t="str">
        <f>Led!D64</f>
        <v/>
      </c>
      <c r="B69" s="702" t="str">
        <f>Led!E64</f>
        <v/>
      </c>
      <c r="C69" s="703" t="str">
        <f>IF(ISNUMBER(A69),(IF(Led!F64=Led!$Q$94,Led!F64,IF(ISBLANK($C$5),"",Led!F64))),"")</f>
        <v/>
      </c>
      <c r="D69" s="703" t="str">
        <f>Led!CS64</f>
        <v/>
      </c>
      <c r="E69" s="704"/>
      <c r="F69" s="704"/>
      <c r="G69" s="704"/>
      <c r="H69" s="704"/>
      <c r="I69" s="704"/>
      <c r="J69" s="704"/>
      <c r="K69" s="704"/>
      <c r="L69" s="704"/>
      <c r="M69" s="704"/>
      <c r="N69" s="723" t="s">
        <v>1200</v>
      </c>
      <c r="O69" s="726"/>
    </row>
    <row r="70" spans="1:15" s="707" customFormat="1" ht="19.5" customHeight="1" x14ac:dyDescent="0.2">
      <c r="A70" s="701" t="str">
        <f>Led!D65</f>
        <v/>
      </c>
      <c r="B70" s="702" t="str">
        <f>Led!E65</f>
        <v/>
      </c>
      <c r="C70" s="703" t="str">
        <f>IF(ISNUMBER(A70),(IF(Led!F65=Led!$Q$94,Led!F65,IF(ISBLANK($C$5),"",Led!F65))),"")</f>
        <v/>
      </c>
      <c r="D70" s="703" t="str">
        <f>Led!CS65</f>
        <v/>
      </c>
      <c r="E70" s="704"/>
      <c r="F70" s="704"/>
      <c r="G70" s="704"/>
      <c r="H70" s="704"/>
      <c r="I70" s="704"/>
      <c r="J70" s="704"/>
      <c r="K70" s="704"/>
      <c r="L70" s="704"/>
      <c r="M70" s="704"/>
      <c r="N70" s="723" t="s">
        <v>1201</v>
      </c>
      <c r="O70" s="726"/>
    </row>
    <row r="71" spans="1:15" ht="20.25" customHeight="1" x14ac:dyDescent="0.2">
      <c r="A71" s="701" t="str">
        <f>Led!D66</f>
        <v/>
      </c>
      <c r="B71" s="702" t="str">
        <f>Led!E66</f>
        <v/>
      </c>
      <c r="C71" s="703" t="str">
        <f>IF(ISNUMBER(A71),(IF(Led!F66=Led!$Q$94,Led!F66,IF(ISBLANK($C$5),"",Led!F66))),"")</f>
        <v/>
      </c>
      <c r="D71" s="703" t="str">
        <f>Led!CS66</f>
        <v/>
      </c>
      <c r="E71" s="704"/>
      <c r="F71" s="704"/>
      <c r="G71" s="704"/>
      <c r="H71" s="704"/>
      <c r="I71" s="704"/>
      <c r="J71" s="704"/>
      <c r="K71" s="704"/>
      <c r="L71" s="704"/>
      <c r="M71" s="704"/>
      <c r="N71" s="723" t="s">
        <v>1202</v>
      </c>
      <c r="O71" s="726"/>
    </row>
    <row r="72" spans="1:15" ht="20.25" customHeight="1" x14ac:dyDescent="0.2">
      <c r="A72" s="701" t="str">
        <f>Led!D67</f>
        <v/>
      </c>
      <c r="B72" s="702" t="str">
        <f>Led!E67</f>
        <v/>
      </c>
      <c r="C72" s="703" t="str">
        <f>IF(ISNUMBER(A72),(IF(Led!F67=Led!$Q$94,Led!F67,IF(ISBLANK($C$5),"",Led!F67))),"")</f>
        <v/>
      </c>
      <c r="D72" s="703" t="str">
        <f>Led!CS67</f>
        <v/>
      </c>
      <c r="E72" s="704"/>
      <c r="F72" s="704"/>
      <c r="G72" s="704"/>
      <c r="H72" s="704"/>
      <c r="I72" s="704"/>
      <c r="J72" s="704"/>
      <c r="K72" s="704"/>
      <c r="L72" s="704"/>
      <c r="M72" s="704"/>
      <c r="N72" s="723" t="s">
        <v>1203</v>
      </c>
      <c r="O72" s="726"/>
    </row>
    <row r="73" spans="1:15" ht="20.25" customHeight="1" x14ac:dyDescent="0.2">
      <c r="A73" s="701" t="str">
        <f>Led!D68</f>
        <v/>
      </c>
      <c r="B73" s="702" t="str">
        <f>Led!E68</f>
        <v/>
      </c>
      <c r="C73" s="703" t="str">
        <f>IF(ISNUMBER(A73),(IF(Led!F68=Led!$Q$94,Led!F68,IF(ISBLANK($C$5),"",Led!F68))),"")</f>
        <v/>
      </c>
      <c r="D73" s="703" t="str">
        <f>Led!CS68</f>
        <v/>
      </c>
      <c r="E73" s="704"/>
      <c r="F73" s="704"/>
      <c r="G73" s="704"/>
      <c r="H73" s="704"/>
      <c r="I73" s="704"/>
      <c r="J73" s="704"/>
      <c r="K73" s="704"/>
      <c r="L73" s="704"/>
      <c r="M73" s="704"/>
      <c r="N73" s="726"/>
      <c r="O73" s="726"/>
    </row>
    <row r="74" spans="1:15" ht="20.25" customHeight="1" x14ac:dyDescent="0.2">
      <c r="A74" s="701" t="str">
        <f>Led!D69</f>
        <v/>
      </c>
      <c r="B74" s="702" t="str">
        <f>Led!E69</f>
        <v/>
      </c>
      <c r="C74" s="703" t="str">
        <f>IF(ISNUMBER(A74),(IF(Led!F69=Led!$Q$94,Led!F69,IF(ISBLANK($C$5),"",Led!F69))),"")</f>
        <v/>
      </c>
      <c r="D74" s="703" t="str">
        <f>Led!CS69</f>
        <v/>
      </c>
      <c r="E74" s="704"/>
      <c r="F74" s="704"/>
      <c r="G74" s="704"/>
      <c r="H74" s="704"/>
      <c r="I74" s="704"/>
      <c r="J74" s="704"/>
      <c r="K74" s="704"/>
      <c r="L74" s="704"/>
      <c r="M74" s="704"/>
      <c r="N74" s="726"/>
      <c r="O74" s="726"/>
    </row>
    <row r="75" spans="1:15" x14ac:dyDescent="0.2">
      <c r="N75" s="727"/>
      <c r="O75" s="727"/>
    </row>
    <row r="76" spans="1:15" x14ac:dyDescent="0.2">
      <c r="N76" s="727"/>
      <c r="O76" s="727"/>
    </row>
    <row r="77" spans="1:15" x14ac:dyDescent="0.2">
      <c r="N77" s="727"/>
      <c r="O77" s="727"/>
    </row>
    <row r="78" spans="1:15" x14ac:dyDescent="0.2">
      <c r="N78" s="727"/>
      <c r="O78" s="727"/>
    </row>
    <row r="79" spans="1:15" x14ac:dyDescent="0.2">
      <c r="N79" s="727"/>
      <c r="O79" s="727"/>
    </row>
    <row r="80" spans="1:15" x14ac:dyDescent="0.2">
      <c r="N80" s="727"/>
      <c r="O80" s="727"/>
    </row>
    <row r="81" spans="14:15" x14ac:dyDescent="0.2">
      <c r="N81" s="727"/>
      <c r="O81" s="727"/>
    </row>
    <row r="82" spans="14:15" x14ac:dyDescent="0.2">
      <c r="N82" s="727"/>
      <c r="O82" s="727"/>
    </row>
    <row r="83" spans="14:15" x14ac:dyDescent="0.2">
      <c r="N83" s="727"/>
      <c r="O83" s="727"/>
    </row>
    <row r="84" spans="14:15" x14ac:dyDescent="0.2">
      <c r="N84" s="727"/>
      <c r="O84" s="727"/>
    </row>
    <row r="85" spans="14:15" x14ac:dyDescent="0.2">
      <c r="N85" s="727"/>
      <c r="O85" s="727"/>
    </row>
    <row r="86" spans="14:15" x14ac:dyDescent="0.2">
      <c r="N86" s="727"/>
      <c r="O86" s="727"/>
    </row>
    <row r="87" spans="14:15" x14ac:dyDescent="0.2">
      <c r="N87" s="727"/>
      <c r="O87" s="727"/>
    </row>
    <row r="88" spans="14:15" x14ac:dyDescent="0.2">
      <c r="N88" s="727"/>
      <c r="O88" s="727"/>
    </row>
    <row r="89" spans="14:15" x14ac:dyDescent="0.2">
      <c r="N89" s="727"/>
      <c r="O89" s="727"/>
    </row>
    <row r="90" spans="14:15" x14ac:dyDescent="0.2">
      <c r="N90" s="727"/>
      <c r="O90" s="727"/>
    </row>
    <row r="91" spans="14:15" x14ac:dyDescent="0.2">
      <c r="N91" s="727"/>
      <c r="O91" s="727"/>
    </row>
    <row r="92" spans="14:15" x14ac:dyDescent="0.2">
      <c r="N92" s="727"/>
      <c r="O92" s="727"/>
    </row>
    <row r="93" spans="14:15" x14ac:dyDescent="0.2">
      <c r="N93" s="727"/>
      <c r="O93" s="727"/>
    </row>
    <row r="94" spans="14:15" x14ac:dyDescent="0.2">
      <c r="N94" s="727"/>
      <c r="O94" s="727"/>
    </row>
    <row r="95" spans="14:15" x14ac:dyDescent="0.2">
      <c r="N95" s="727"/>
      <c r="O95" s="727"/>
    </row>
    <row r="96" spans="14:15" x14ac:dyDescent="0.2">
      <c r="N96" s="727"/>
      <c r="O96" s="727"/>
    </row>
    <row r="97" spans="14:15" x14ac:dyDescent="0.2">
      <c r="N97" s="727"/>
      <c r="O97" s="727"/>
    </row>
    <row r="98" spans="14:15" x14ac:dyDescent="0.2">
      <c r="N98" s="727"/>
      <c r="O98" s="727"/>
    </row>
    <row r="99" spans="14:15" x14ac:dyDescent="0.2">
      <c r="N99" s="727"/>
      <c r="O99" s="727"/>
    </row>
    <row r="100" spans="14:15" x14ac:dyDescent="0.2">
      <c r="N100" s="727"/>
      <c r="O100" s="727"/>
    </row>
    <row r="101" spans="14:15" x14ac:dyDescent="0.2">
      <c r="N101" s="727"/>
      <c r="O101" s="727"/>
    </row>
    <row r="102" spans="14:15" x14ac:dyDescent="0.2">
      <c r="N102" s="727"/>
      <c r="O102" s="727"/>
    </row>
    <row r="103" spans="14:15" x14ac:dyDescent="0.2">
      <c r="N103" s="727"/>
      <c r="O103" s="727"/>
    </row>
    <row r="104" spans="14:15" x14ac:dyDescent="0.2">
      <c r="N104" s="727"/>
      <c r="O104" s="727"/>
    </row>
    <row r="105" spans="14:15" x14ac:dyDescent="0.2">
      <c r="N105" s="727"/>
      <c r="O105" s="727"/>
    </row>
    <row r="106" spans="14:15" x14ac:dyDescent="0.2">
      <c r="N106" s="727"/>
      <c r="O106" s="727"/>
    </row>
    <row r="107" spans="14:15" x14ac:dyDescent="0.2">
      <c r="N107" s="727"/>
      <c r="O107" s="727"/>
    </row>
    <row r="108" spans="14:15" x14ac:dyDescent="0.2">
      <c r="N108" s="727"/>
      <c r="O108" s="727"/>
    </row>
    <row r="109" spans="14:15" x14ac:dyDescent="0.2">
      <c r="N109" s="727"/>
      <c r="O109" s="727"/>
    </row>
    <row r="110" spans="14:15" x14ac:dyDescent="0.2">
      <c r="N110" s="727"/>
      <c r="O110" s="727"/>
    </row>
    <row r="111" spans="14:15" x14ac:dyDescent="0.2">
      <c r="N111" s="727"/>
      <c r="O111" s="727"/>
    </row>
    <row r="112" spans="14:15" x14ac:dyDescent="0.2">
      <c r="N112" s="727"/>
      <c r="O112" s="727"/>
    </row>
    <row r="113" spans="14:15" x14ac:dyDescent="0.2">
      <c r="N113" s="727"/>
      <c r="O113" s="727"/>
    </row>
    <row r="114" spans="14:15" x14ac:dyDescent="0.2">
      <c r="N114" s="727"/>
      <c r="O114" s="727"/>
    </row>
    <row r="115" spans="14:15" x14ac:dyDescent="0.2">
      <c r="N115" s="727"/>
      <c r="O115" s="727"/>
    </row>
    <row r="116" spans="14:15" x14ac:dyDescent="0.2">
      <c r="N116" s="727"/>
      <c r="O116" s="727"/>
    </row>
    <row r="117" spans="14:15" x14ac:dyDescent="0.2">
      <c r="N117" s="727"/>
      <c r="O117" s="727"/>
    </row>
    <row r="118" spans="14:15" x14ac:dyDescent="0.2">
      <c r="N118" s="727"/>
      <c r="O118" s="727"/>
    </row>
    <row r="119" spans="14:15" x14ac:dyDescent="0.2">
      <c r="N119" s="727"/>
      <c r="O119" s="727"/>
    </row>
    <row r="120" spans="14:15" x14ac:dyDescent="0.2">
      <c r="N120" s="727"/>
      <c r="O120" s="727"/>
    </row>
    <row r="121" spans="14:15" x14ac:dyDescent="0.2">
      <c r="N121" s="727"/>
      <c r="O121" s="727"/>
    </row>
    <row r="122" spans="14:15" x14ac:dyDescent="0.2">
      <c r="N122" s="727"/>
      <c r="O122" s="727"/>
    </row>
    <row r="123" spans="14:15" x14ac:dyDescent="0.2">
      <c r="N123" s="727"/>
      <c r="O123" s="727"/>
    </row>
    <row r="124" spans="14:15" x14ac:dyDescent="0.2">
      <c r="N124" s="727"/>
      <c r="O124" s="727"/>
    </row>
    <row r="125" spans="14:15" x14ac:dyDescent="0.2">
      <c r="N125" s="727"/>
      <c r="O125" s="727"/>
    </row>
    <row r="126" spans="14:15" x14ac:dyDescent="0.2">
      <c r="N126" s="727"/>
      <c r="O126" s="727"/>
    </row>
    <row r="127" spans="14:15" x14ac:dyDescent="0.2">
      <c r="N127" s="727"/>
      <c r="O127" s="727"/>
    </row>
    <row r="128" spans="14:15" x14ac:dyDescent="0.2">
      <c r="N128" s="727"/>
      <c r="O128" s="727"/>
    </row>
    <row r="129" spans="14:15" x14ac:dyDescent="0.2">
      <c r="N129" s="727"/>
      <c r="O129" s="727"/>
    </row>
    <row r="130" spans="14:15" x14ac:dyDescent="0.2">
      <c r="N130" s="727"/>
      <c r="O130" s="727"/>
    </row>
    <row r="131" spans="14:15" x14ac:dyDescent="0.2">
      <c r="N131" s="727"/>
      <c r="O131" s="727"/>
    </row>
    <row r="132" spans="14:15" x14ac:dyDescent="0.2">
      <c r="N132" s="727"/>
      <c r="O132" s="727"/>
    </row>
    <row r="133" spans="14:15" x14ac:dyDescent="0.2">
      <c r="N133" s="727"/>
      <c r="O133" s="727"/>
    </row>
    <row r="134" spans="14:15" x14ac:dyDescent="0.2">
      <c r="N134" s="727"/>
      <c r="O134" s="727"/>
    </row>
    <row r="135" spans="14:15" x14ac:dyDescent="0.2">
      <c r="N135" s="727"/>
      <c r="O135" s="727"/>
    </row>
    <row r="136" spans="14:15" x14ac:dyDescent="0.2">
      <c r="N136" s="727"/>
      <c r="O136" s="727"/>
    </row>
    <row r="137" spans="14:15" x14ac:dyDescent="0.2">
      <c r="N137" s="727"/>
      <c r="O137" s="727"/>
    </row>
    <row r="138" spans="14:15" x14ac:dyDescent="0.2">
      <c r="N138" s="727"/>
      <c r="O138" s="727"/>
    </row>
    <row r="139" spans="14:15" x14ac:dyDescent="0.2">
      <c r="N139" s="727"/>
      <c r="O139" s="727"/>
    </row>
    <row r="140" spans="14:15" x14ac:dyDescent="0.2">
      <c r="N140" s="727"/>
      <c r="O140" s="727"/>
    </row>
    <row r="141" spans="14:15" x14ac:dyDescent="0.2">
      <c r="N141" s="727"/>
      <c r="O141" s="727"/>
    </row>
    <row r="142" spans="14:15" x14ac:dyDescent="0.2">
      <c r="N142" s="727"/>
      <c r="O142" s="727"/>
    </row>
    <row r="143" spans="14:15" x14ac:dyDescent="0.2">
      <c r="N143" s="727"/>
      <c r="O143" s="727"/>
    </row>
    <row r="144" spans="14:15" x14ac:dyDescent="0.2">
      <c r="N144" s="727"/>
      <c r="O144" s="727"/>
    </row>
    <row r="145" spans="14:15" x14ac:dyDescent="0.2">
      <c r="N145" s="727"/>
      <c r="O145" s="727"/>
    </row>
    <row r="146" spans="14:15" x14ac:dyDescent="0.2">
      <c r="N146" s="727"/>
      <c r="O146" s="727"/>
    </row>
    <row r="147" spans="14:15" x14ac:dyDescent="0.2">
      <c r="N147" s="727"/>
      <c r="O147" s="727"/>
    </row>
    <row r="148" spans="14:15" x14ac:dyDescent="0.2">
      <c r="N148" s="727"/>
      <c r="O148" s="727"/>
    </row>
    <row r="149" spans="14:15" x14ac:dyDescent="0.2">
      <c r="N149" s="727"/>
      <c r="O149" s="727"/>
    </row>
    <row r="150" spans="14:15" x14ac:dyDescent="0.2">
      <c r="N150" s="727"/>
      <c r="O150" s="727"/>
    </row>
    <row r="151" spans="14:15" x14ac:dyDescent="0.2">
      <c r="N151" s="727"/>
      <c r="O151" s="727"/>
    </row>
    <row r="152" spans="14:15" x14ac:dyDescent="0.2">
      <c r="N152" s="727"/>
      <c r="O152" s="727"/>
    </row>
    <row r="153" spans="14:15" x14ac:dyDescent="0.2">
      <c r="N153" s="727"/>
      <c r="O153" s="727"/>
    </row>
    <row r="154" spans="14:15" x14ac:dyDescent="0.2">
      <c r="N154" s="727"/>
      <c r="O154" s="727"/>
    </row>
    <row r="155" spans="14:15" x14ac:dyDescent="0.2">
      <c r="N155" s="727"/>
      <c r="O155" s="727"/>
    </row>
    <row r="156" spans="14:15" x14ac:dyDescent="0.2">
      <c r="N156" s="727"/>
      <c r="O156" s="727"/>
    </row>
    <row r="157" spans="14:15" x14ac:dyDescent="0.2">
      <c r="N157" s="727"/>
      <c r="O157" s="727"/>
    </row>
    <row r="158" spans="14:15" x14ac:dyDescent="0.2">
      <c r="N158" s="727"/>
      <c r="O158" s="727"/>
    </row>
    <row r="159" spans="14:15" x14ac:dyDescent="0.2">
      <c r="N159" s="727"/>
      <c r="O159" s="727"/>
    </row>
    <row r="160" spans="14:15" x14ac:dyDescent="0.2">
      <c r="N160" s="727"/>
      <c r="O160" s="727"/>
    </row>
    <row r="161" spans="14:15" x14ac:dyDescent="0.2">
      <c r="N161" s="727"/>
      <c r="O161" s="727"/>
    </row>
    <row r="162" spans="14:15" x14ac:dyDescent="0.2">
      <c r="N162" s="727"/>
      <c r="O162" s="727"/>
    </row>
    <row r="163" spans="14:15" x14ac:dyDescent="0.2">
      <c r="N163" s="727"/>
      <c r="O163" s="727"/>
    </row>
    <row r="164" spans="14:15" x14ac:dyDescent="0.2">
      <c r="N164" s="727"/>
      <c r="O164" s="727"/>
    </row>
    <row r="165" spans="14:15" x14ac:dyDescent="0.2">
      <c r="N165" s="727"/>
      <c r="O165" s="727"/>
    </row>
    <row r="166" spans="14:15" x14ac:dyDescent="0.2">
      <c r="N166" s="727"/>
      <c r="O166" s="727"/>
    </row>
    <row r="167" spans="14:15" x14ac:dyDescent="0.2">
      <c r="N167" s="727"/>
      <c r="O167" s="727"/>
    </row>
    <row r="168" spans="14:15" x14ac:dyDescent="0.2">
      <c r="N168" s="727"/>
      <c r="O168" s="727"/>
    </row>
    <row r="169" spans="14:15" x14ac:dyDescent="0.2">
      <c r="N169" s="727"/>
      <c r="O169" s="727"/>
    </row>
  </sheetData>
  <sheetProtection sheet="1" objects="1" scenarios="1"/>
  <mergeCells count="7">
    <mergeCell ref="N2:O2"/>
    <mergeCell ref="A3:C4"/>
    <mergeCell ref="A1:E1"/>
    <mergeCell ref="F1:G1"/>
    <mergeCell ref="A2:E2"/>
    <mergeCell ref="K2:L2"/>
    <mergeCell ref="N4:O5"/>
  </mergeCells>
  <dataValidations count="2">
    <dataValidation type="list" allowBlank="1" showInputMessage="1" showErrorMessage="1" sqref="WVA983044:WVG983044 IO4:IU4 SK4:SQ4 ACG4:ACM4 AMC4:AMI4 AVY4:AWE4 BFU4:BGA4 BPQ4:BPW4 BZM4:BZS4 CJI4:CJO4 CTE4:CTK4 DDA4:DDG4 DMW4:DNC4 DWS4:DWY4 EGO4:EGU4 EQK4:EQQ4 FAG4:FAM4 FKC4:FKI4 FTY4:FUE4 GDU4:GEA4 GNQ4:GNW4 GXM4:GXS4 HHI4:HHO4 HRE4:HRK4 IBA4:IBG4 IKW4:ILC4 IUS4:IUY4 JEO4:JEU4 JOK4:JOQ4 JYG4:JYM4 KIC4:KII4 KRY4:KSE4 LBU4:LCA4 LLQ4:LLW4 LVM4:LVS4 MFI4:MFO4 MPE4:MPK4 MZA4:MZG4 NIW4:NJC4 NSS4:NSY4 OCO4:OCU4 OMK4:OMQ4 OWG4:OWM4 PGC4:PGI4 PPY4:PQE4 PZU4:QAA4 QJQ4:QJW4 QTM4:QTS4 RDI4:RDO4 RNE4:RNK4 RXA4:RXG4 SGW4:SHC4 SQS4:SQY4 TAO4:TAU4 TKK4:TKQ4 TUG4:TUM4 UEC4:UEI4 UNY4:UOE4 UXU4:UYA4 VHQ4:VHW4 VRM4:VRS4 WBI4:WBO4 WLE4:WLK4 WVA4:WVG4 E65540:K65540 IO65540:IU65540 SK65540:SQ65540 ACG65540:ACM65540 AMC65540:AMI65540 AVY65540:AWE65540 BFU65540:BGA65540 BPQ65540:BPW65540 BZM65540:BZS65540 CJI65540:CJO65540 CTE65540:CTK65540 DDA65540:DDG65540 DMW65540:DNC65540 DWS65540:DWY65540 EGO65540:EGU65540 EQK65540:EQQ65540 FAG65540:FAM65540 FKC65540:FKI65540 FTY65540:FUE65540 GDU65540:GEA65540 GNQ65540:GNW65540 GXM65540:GXS65540 HHI65540:HHO65540 HRE65540:HRK65540 IBA65540:IBG65540 IKW65540:ILC65540 IUS65540:IUY65540 JEO65540:JEU65540 JOK65540:JOQ65540 JYG65540:JYM65540 KIC65540:KII65540 KRY65540:KSE65540 LBU65540:LCA65540 LLQ65540:LLW65540 LVM65540:LVS65540 MFI65540:MFO65540 MPE65540:MPK65540 MZA65540:MZG65540 NIW65540:NJC65540 NSS65540:NSY65540 OCO65540:OCU65540 OMK65540:OMQ65540 OWG65540:OWM65540 PGC65540:PGI65540 PPY65540:PQE65540 PZU65540:QAA65540 QJQ65540:QJW65540 QTM65540:QTS65540 RDI65540:RDO65540 RNE65540:RNK65540 RXA65540:RXG65540 SGW65540:SHC65540 SQS65540:SQY65540 TAO65540:TAU65540 TKK65540:TKQ65540 TUG65540:TUM65540 UEC65540:UEI65540 UNY65540:UOE65540 UXU65540:UYA65540 VHQ65540:VHW65540 VRM65540:VRS65540 WBI65540:WBO65540 WLE65540:WLK65540 WVA65540:WVG65540 E131076:K131076 IO131076:IU131076 SK131076:SQ131076 ACG131076:ACM131076 AMC131076:AMI131076 AVY131076:AWE131076 BFU131076:BGA131076 BPQ131076:BPW131076 BZM131076:BZS131076 CJI131076:CJO131076 CTE131076:CTK131076 DDA131076:DDG131076 DMW131076:DNC131076 DWS131076:DWY131076 EGO131076:EGU131076 EQK131076:EQQ131076 FAG131076:FAM131076 FKC131076:FKI131076 FTY131076:FUE131076 GDU131076:GEA131076 GNQ131076:GNW131076 GXM131076:GXS131076 HHI131076:HHO131076 HRE131076:HRK131076 IBA131076:IBG131076 IKW131076:ILC131076 IUS131076:IUY131076 JEO131076:JEU131076 JOK131076:JOQ131076 JYG131076:JYM131076 KIC131076:KII131076 KRY131076:KSE131076 LBU131076:LCA131076 LLQ131076:LLW131076 LVM131076:LVS131076 MFI131076:MFO131076 MPE131076:MPK131076 MZA131076:MZG131076 NIW131076:NJC131076 NSS131076:NSY131076 OCO131076:OCU131076 OMK131076:OMQ131076 OWG131076:OWM131076 PGC131076:PGI131076 PPY131076:PQE131076 PZU131076:QAA131076 QJQ131076:QJW131076 QTM131076:QTS131076 RDI131076:RDO131076 RNE131076:RNK131076 RXA131076:RXG131076 SGW131076:SHC131076 SQS131076:SQY131076 TAO131076:TAU131076 TKK131076:TKQ131076 TUG131076:TUM131076 UEC131076:UEI131076 UNY131076:UOE131076 UXU131076:UYA131076 VHQ131076:VHW131076 VRM131076:VRS131076 WBI131076:WBO131076 WLE131076:WLK131076 WVA131076:WVG131076 E196612:K196612 IO196612:IU196612 SK196612:SQ196612 ACG196612:ACM196612 AMC196612:AMI196612 AVY196612:AWE196612 BFU196612:BGA196612 BPQ196612:BPW196612 BZM196612:BZS196612 CJI196612:CJO196612 CTE196612:CTK196612 DDA196612:DDG196612 DMW196612:DNC196612 DWS196612:DWY196612 EGO196612:EGU196612 EQK196612:EQQ196612 FAG196612:FAM196612 FKC196612:FKI196612 FTY196612:FUE196612 GDU196612:GEA196612 GNQ196612:GNW196612 GXM196612:GXS196612 HHI196612:HHO196612 HRE196612:HRK196612 IBA196612:IBG196612 IKW196612:ILC196612 IUS196612:IUY196612 JEO196612:JEU196612 JOK196612:JOQ196612 JYG196612:JYM196612 KIC196612:KII196612 KRY196612:KSE196612 LBU196612:LCA196612 LLQ196612:LLW196612 LVM196612:LVS196612 MFI196612:MFO196612 MPE196612:MPK196612 MZA196612:MZG196612 NIW196612:NJC196612 NSS196612:NSY196612 OCO196612:OCU196612 OMK196612:OMQ196612 OWG196612:OWM196612 PGC196612:PGI196612 PPY196612:PQE196612 PZU196612:QAA196612 QJQ196612:QJW196612 QTM196612:QTS196612 RDI196612:RDO196612 RNE196612:RNK196612 RXA196612:RXG196612 SGW196612:SHC196612 SQS196612:SQY196612 TAO196612:TAU196612 TKK196612:TKQ196612 TUG196612:TUM196612 UEC196612:UEI196612 UNY196612:UOE196612 UXU196612:UYA196612 VHQ196612:VHW196612 VRM196612:VRS196612 WBI196612:WBO196612 WLE196612:WLK196612 WVA196612:WVG196612 E262148:K262148 IO262148:IU262148 SK262148:SQ262148 ACG262148:ACM262148 AMC262148:AMI262148 AVY262148:AWE262148 BFU262148:BGA262148 BPQ262148:BPW262148 BZM262148:BZS262148 CJI262148:CJO262148 CTE262148:CTK262148 DDA262148:DDG262148 DMW262148:DNC262148 DWS262148:DWY262148 EGO262148:EGU262148 EQK262148:EQQ262148 FAG262148:FAM262148 FKC262148:FKI262148 FTY262148:FUE262148 GDU262148:GEA262148 GNQ262148:GNW262148 GXM262148:GXS262148 HHI262148:HHO262148 HRE262148:HRK262148 IBA262148:IBG262148 IKW262148:ILC262148 IUS262148:IUY262148 JEO262148:JEU262148 JOK262148:JOQ262148 JYG262148:JYM262148 KIC262148:KII262148 KRY262148:KSE262148 LBU262148:LCA262148 LLQ262148:LLW262148 LVM262148:LVS262148 MFI262148:MFO262148 MPE262148:MPK262148 MZA262148:MZG262148 NIW262148:NJC262148 NSS262148:NSY262148 OCO262148:OCU262148 OMK262148:OMQ262148 OWG262148:OWM262148 PGC262148:PGI262148 PPY262148:PQE262148 PZU262148:QAA262148 QJQ262148:QJW262148 QTM262148:QTS262148 RDI262148:RDO262148 RNE262148:RNK262148 RXA262148:RXG262148 SGW262148:SHC262148 SQS262148:SQY262148 TAO262148:TAU262148 TKK262148:TKQ262148 TUG262148:TUM262148 UEC262148:UEI262148 UNY262148:UOE262148 UXU262148:UYA262148 VHQ262148:VHW262148 VRM262148:VRS262148 WBI262148:WBO262148 WLE262148:WLK262148 WVA262148:WVG262148 E327684:K327684 IO327684:IU327684 SK327684:SQ327684 ACG327684:ACM327684 AMC327684:AMI327684 AVY327684:AWE327684 BFU327684:BGA327684 BPQ327684:BPW327684 BZM327684:BZS327684 CJI327684:CJO327684 CTE327684:CTK327684 DDA327684:DDG327684 DMW327684:DNC327684 DWS327684:DWY327684 EGO327684:EGU327684 EQK327684:EQQ327684 FAG327684:FAM327684 FKC327684:FKI327684 FTY327684:FUE327684 GDU327684:GEA327684 GNQ327684:GNW327684 GXM327684:GXS327684 HHI327684:HHO327684 HRE327684:HRK327684 IBA327684:IBG327684 IKW327684:ILC327684 IUS327684:IUY327684 JEO327684:JEU327684 JOK327684:JOQ327684 JYG327684:JYM327684 KIC327684:KII327684 KRY327684:KSE327684 LBU327684:LCA327684 LLQ327684:LLW327684 LVM327684:LVS327684 MFI327684:MFO327684 MPE327684:MPK327684 MZA327684:MZG327684 NIW327684:NJC327684 NSS327684:NSY327684 OCO327684:OCU327684 OMK327684:OMQ327684 OWG327684:OWM327684 PGC327684:PGI327684 PPY327684:PQE327684 PZU327684:QAA327684 QJQ327684:QJW327684 QTM327684:QTS327684 RDI327684:RDO327684 RNE327684:RNK327684 RXA327684:RXG327684 SGW327684:SHC327684 SQS327684:SQY327684 TAO327684:TAU327684 TKK327684:TKQ327684 TUG327684:TUM327684 UEC327684:UEI327684 UNY327684:UOE327684 UXU327684:UYA327684 VHQ327684:VHW327684 VRM327684:VRS327684 WBI327684:WBO327684 WLE327684:WLK327684 WVA327684:WVG327684 E393220:K393220 IO393220:IU393220 SK393220:SQ393220 ACG393220:ACM393220 AMC393220:AMI393220 AVY393220:AWE393220 BFU393220:BGA393220 BPQ393220:BPW393220 BZM393220:BZS393220 CJI393220:CJO393220 CTE393220:CTK393220 DDA393220:DDG393220 DMW393220:DNC393220 DWS393220:DWY393220 EGO393220:EGU393220 EQK393220:EQQ393220 FAG393220:FAM393220 FKC393220:FKI393220 FTY393220:FUE393220 GDU393220:GEA393220 GNQ393220:GNW393220 GXM393220:GXS393220 HHI393220:HHO393220 HRE393220:HRK393220 IBA393220:IBG393220 IKW393220:ILC393220 IUS393220:IUY393220 JEO393220:JEU393220 JOK393220:JOQ393220 JYG393220:JYM393220 KIC393220:KII393220 KRY393220:KSE393220 LBU393220:LCA393220 LLQ393220:LLW393220 LVM393220:LVS393220 MFI393220:MFO393220 MPE393220:MPK393220 MZA393220:MZG393220 NIW393220:NJC393220 NSS393220:NSY393220 OCO393220:OCU393220 OMK393220:OMQ393220 OWG393220:OWM393220 PGC393220:PGI393220 PPY393220:PQE393220 PZU393220:QAA393220 QJQ393220:QJW393220 QTM393220:QTS393220 RDI393220:RDO393220 RNE393220:RNK393220 RXA393220:RXG393220 SGW393220:SHC393220 SQS393220:SQY393220 TAO393220:TAU393220 TKK393220:TKQ393220 TUG393220:TUM393220 UEC393220:UEI393220 UNY393220:UOE393220 UXU393220:UYA393220 VHQ393220:VHW393220 VRM393220:VRS393220 WBI393220:WBO393220 WLE393220:WLK393220 WVA393220:WVG393220 E458756:K458756 IO458756:IU458756 SK458756:SQ458756 ACG458756:ACM458756 AMC458756:AMI458756 AVY458756:AWE458756 BFU458756:BGA458756 BPQ458756:BPW458756 BZM458756:BZS458756 CJI458756:CJO458756 CTE458756:CTK458756 DDA458756:DDG458756 DMW458756:DNC458756 DWS458756:DWY458756 EGO458756:EGU458756 EQK458756:EQQ458756 FAG458756:FAM458756 FKC458756:FKI458756 FTY458756:FUE458756 GDU458756:GEA458756 GNQ458756:GNW458756 GXM458756:GXS458756 HHI458756:HHO458756 HRE458756:HRK458756 IBA458756:IBG458756 IKW458756:ILC458756 IUS458756:IUY458756 JEO458756:JEU458756 JOK458756:JOQ458756 JYG458756:JYM458756 KIC458756:KII458756 KRY458756:KSE458756 LBU458756:LCA458756 LLQ458756:LLW458756 LVM458756:LVS458756 MFI458756:MFO458756 MPE458756:MPK458756 MZA458756:MZG458756 NIW458756:NJC458756 NSS458756:NSY458756 OCO458756:OCU458756 OMK458756:OMQ458756 OWG458756:OWM458756 PGC458756:PGI458756 PPY458756:PQE458756 PZU458756:QAA458756 QJQ458756:QJW458756 QTM458756:QTS458756 RDI458756:RDO458756 RNE458756:RNK458756 RXA458756:RXG458756 SGW458756:SHC458756 SQS458756:SQY458756 TAO458756:TAU458756 TKK458756:TKQ458756 TUG458756:TUM458756 UEC458756:UEI458756 UNY458756:UOE458756 UXU458756:UYA458756 VHQ458756:VHW458756 VRM458756:VRS458756 WBI458756:WBO458756 WLE458756:WLK458756 WVA458756:WVG458756 E524292:K524292 IO524292:IU524292 SK524292:SQ524292 ACG524292:ACM524292 AMC524292:AMI524292 AVY524292:AWE524292 BFU524292:BGA524292 BPQ524292:BPW524292 BZM524292:BZS524292 CJI524292:CJO524292 CTE524292:CTK524292 DDA524292:DDG524292 DMW524292:DNC524292 DWS524292:DWY524292 EGO524292:EGU524292 EQK524292:EQQ524292 FAG524292:FAM524292 FKC524292:FKI524292 FTY524292:FUE524292 GDU524292:GEA524292 GNQ524292:GNW524292 GXM524292:GXS524292 HHI524292:HHO524292 HRE524292:HRK524292 IBA524292:IBG524292 IKW524292:ILC524292 IUS524292:IUY524292 JEO524292:JEU524292 JOK524292:JOQ524292 JYG524292:JYM524292 KIC524292:KII524292 KRY524292:KSE524292 LBU524292:LCA524292 LLQ524292:LLW524292 LVM524292:LVS524292 MFI524292:MFO524292 MPE524292:MPK524292 MZA524292:MZG524292 NIW524292:NJC524292 NSS524292:NSY524292 OCO524292:OCU524292 OMK524292:OMQ524292 OWG524292:OWM524292 PGC524292:PGI524292 PPY524292:PQE524292 PZU524292:QAA524292 QJQ524292:QJW524292 QTM524292:QTS524292 RDI524292:RDO524292 RNE524292:RNK524292 RXA524292:RXG524292 SGW524292:SHC524292 SQS524292:SQY524292 TAO524292:TAU524292 TKK524292:TKQ524292 TUG524292:TUM524292 UEC524292:UEI524292 UNY524292:UOE524292 UXU524292:UYA524292 VHQ524292:VHW524292 VRM524292:VRS524292 WBI524292:WBO524292 WLE524292:WLK524292 WVA524292:WVG524292 E589828:K589828 IO589828:IU589828 SK589828:SQ589828 ACG589828:ACM589828 AMC589828:AMI589828 AVY589828:AWE589828 BFU589828:BGA589828 BPQ589828:BPW589828 BZM589828:BZS589828 CJI589828:CJO589828 CTE589828:CTK589828 DDA589828:DDG589828 DMW589828:DNC589828 DWS589828:DWY589828 EGO589828:EGU589828 EQK589828:EQQ589828 FAG589828:FAM589828 FKC589828:FKI589828 FTY589828:FUE589828 GDU589828:GEA589828 GNQ589828:GNW589828 GXM589828:GXS589828 HHI589828:HHO589828 HRE589828:HRK589828 IBA589828:IBG589828 IKW589828:ILC589828 IUS589828:IUY589828 JEO589828:JEU589828 JOK589828:JOQ589828 JYG589828:JYM589828 KIC589828:KII589828 KRY589828:KSE589828 LBU589828:LCA589828 LLQ589828:LLW589828 LVM589828:LVS589828 MFI589828:MFO589828 MPE589828:MPK589828 MZA589828:MZG589828 NIW589828:NJC589828 NSS589828:NSY589828 OCO589828:OCU589828 OMK589828:OMQ589828 OWG589828:OWM589828 PGC589828:PGI589828 PPY589828:PQE589828 PZU589828:QAA589828 QJQ589828:QJW589828 QTM589828:QTS589828 RDI589828:RDO589828 RNE589828:RNK589828 RXA589828:RXG589828 SGW589828:SHC589828 SQS589828:SQY589828 TAO589828:TAU589828 TKK589828:TKQ589828 TUG589828:TUM589828 UEC589828:UEI589828 UNY589828:UOE589828 UXU589828:UYA589828 VHQ589828:VHW589828 VRM589828:VRS589828 WBI589828:WBO589828 WLE589828:WLK589828 WVA589828:WVG589828 E655364:K655364 IO655364:IU655364 SK655364:SQ655364 ACG655364:ACM655364 AMC655364:AMI655364 AVY655364:AWE655364 BFU655364:BGA655364 BPQ655364:BPW655364 BZM655364:BZS655364 CJI655364:CJO655364 CTE655364:CTK655364 DDA655364:DDG655364 DMW655364:DNC655364 DWS655364:DWY655364 EGO655364:EGU655364 EQK655364:EQQ655364 FAG655364:FAM655364 FKC655364:FKI655364 FTY655364:FUE655364 GDU655364:GEA655364 GNQ655364:GNW655364 GXM655364:GXS655364 HHI655364:HHO655364 HRE655364:HRK655364 IBA655364:IBG655364 IKW655364:ILC655364 IUS655364:IUY655364 JEO655364:JEU655364 JOK655364:JOQ655364 JYG655364:JYM655364 KIC655364:KII655364 KRY655364:KSE655364 LBU655364:LCA655364 LLQ655364:LLW655364 LVM655364:LVS655364 MFI655364:MFO655364 MPE655364:MPK655364 MZA655364:MZG655364 NIW655364:NJC655364 NSS655364:NSY655364 OCO655364:OCU655364 OMK655364:OMQ655364 OWG655364:OWM655364 PGC655364:PGI655364 PPY655364:PQE655364 PZU655364:QAA655364 QJQ655364:QJW655364 QTM655364:QTS655364 RDI655364:RDO655364 RNE655364:RNK655364 RXA655364:RXG655364 SGW655364:SHC655364 SQS655364:SQY655364 TAO655364:TAU655364 TKK655364:TKQ655364 TUG655364:TUM655364 UEC655364:UEI655364 UNY655364:UOE655364 UXU655364:UYA655364 VHQ655364:VHW655364 VRM655364:VRS655364 WBI655364:WBO655364 WLE655364:WLK655364 WVA655364:WVG655364 E720900:K720900 IO720900:IU720900 SK720900:SQ720900 ACG720900:ACM720900 AMC720900:AMI720900 AVY720900:AWE720900 BFU720900:BGA720900 BPQ720900:BPW720900 BZM720900:BZS720900 CJI720900:CJO720900 CTE720900:CTK720900 DDA720900:DDG720900 DMW720900:DNC720900 DWS720900:DWY720900 EGO720900:EGU720900 EQK720900:EQQ720900 FAG720900:FAM720900 FKC720900:FKI720900 FTY720900:FUE720900 GDU720900:GEA720900 GNQ720900:GNW720900 GXM720900:GXS720900 HHI720900:HHO720900 HRE720900:HRK720900 IBA720900:IBG720900 IKW720900:ILC720900 IUS720900:IUY720900 JEO720900:JEU720900 JOK720900:JOQ720900 JYG720900:JYM720900 KIC720900:KII720900 KRY720900:KSE720900 LBU720900:LCA720900 LLQ720900:LLW720900 LVM720900:LVS720900 MFI720900:MFO720900 MPE720900:MPK720900 MZA720900:MZG720900 NIW720900:NJC720900 NSS720900:NSY720900 OCO720900:OCU720900 OMK720900:OMQ720900 OWG720900:OWM720900 PGC720900:PGI720900 PPY720900:PQE720900 PZU720900:QAA720900 QJQ720900:QJW720900 QTM720900:QTS720900 RDI720900:RDO720900 RNE720900:RNK720900 RXA720900:RXG720900 SGW720900:SHC720900 SQS720900:SQY720900 TAO720900:TAU720900 TKK720900:TKQ720900 TUG720900:TUM720900 UEC720900:UEI720900 UNY720900:UOE720900 UXU720900:UYA720900 VHQ720900:VHW720900 VRM720900:VRS720900 WBI720900:WBO720900 WLE720900:WLK720900 WVA720900:WVG720900 E786436:K786436 IO786436:IU786436 SK786436:SQ786436 ACG786436:ACM786436 AMC786436:AMI786436 AVY786436:AWE786436 BFU786436:BGA786436 BPQ786436:BPW786436 BZM786436:BZS786436 CJI786436:CJO786436 CTE786436:CTK786436 DDA786436:DDG786436 DMW786436:DNC786436 DWS786436:DWY786436 EGO786436:EGU786436 EQK786436:EQQ786436 FAG786436:FAM786436 FKC786436:FKI786436 FTY786436:FUE786436 GDU786436:GEA786436 GNQ786436:GNW786436 GXM786436:GXS786436 HHI786436:HHO786436 HRE786436:HRK786436 IBA786436:IBG786436 IKW786436:ILC786436 IUS786436:IUY786436 JEO786436:JEU786436 JOK786436:JOQ786436 JYG786436:JYM786436 KIC786436:KII786436 KRY786436:KSE786436 LBU786436:LCA786436 LLQ786436:LLW786436 LVM786436:LVS786436 MFI786436:MFO786436 MPE786436:MPK786436 MZA786436:MZG786436 NIW786436:NJC786436 NSS786436:NSY786436 OCO786436:OCU786436 OMK786436:OMQ786436 OWG786436:OWM786436 PGC786436:PGI786436 PPY786436:PQE786436 PZU786436:QAA786436 QJQ786436:QJW786436 QTM786436:QTS786436 RDI786436:RDO786436 RNE786436:RNK786436 RXA786436:RXG786436 SGW786436:SHC786436 SQS786436:SQY786436 TAO786436:TAU786436 TKK786436:TKQ786436 TUG786436:TUM786436 UEC786436:UEI786436 UNY786436:UOE786436 UXU786436:UYA786436 VHQ786436:VHW786436 VRM786436:VRS786436 WBI786436:WBO786436 WLE786436:WLK786436 WVA786436:WVG786436 E851972:K851972 IO851972:IU851972 SK851972:SQ851972 ACG851972:ACM851972 AMC851972:AMI851972 AVY851972:AWE851972 BFU851972:BGA851972 BPQ851972:BPW851972 BZM851972:BZS851972 CJI851972:CJO851972 CTE851972:CTK851972 DDA851972:DDG851972 DMW851972:DNC851972 DWS851972:DWY851972 EGO851972:EGU851972 EQK851972:EQQ851972 FAG851972:FAM851972 FKC851972:FKI851972 FTY851972:FUE851972 GDU851972:GEA851972 GNQ851972:GNW851972 GXM851972:GXS851972 HHI851972:HHO851972 HRE851972:HRK851972 IBA851972:IBG851972 IKW851972:ILC851972 IUS851972:IUY851972 JEO851972:JEU851972 JOK851972:JOQ851972 JYG851972:JYM851972 KIC851972:KII851972 KRY851972:KSE851972 LBU851972:LCA851972 LLQ851972:LLW851972 LVM851972:LVS851972 MFI851972:MFO851972 MPE851972:MPK851972 MZA851972:MZG851972 NIW851972:NJC851972 NSS851972:NSY851972 OCO851972:OCU851972 OMK851972:OMQ851972 OWG851972:OWM851972 PGC851972:PGI851972 PPY851972:PQE851972 PZU851972:QAA851972 QJQ851972:QJW851972 QTM851972:QTS851972 RDI851972:RDO851972 RNE851972:RNK851972 RXA851972:RXG851972 SGW851972:SHC851972 SQS851972:SQY851972 TAO851972:TAU851972 TKK851972:TKQ851972 TUG851972:TUM851972 UEC851972:UEI851972 UNY851972:UOE851972 UXU851972:UYA851972 VHQ851972:VHW851972 VRM851972:VRS851972 WBI851972:WBO851972 WLE851972:WLK851972 WVA851972:WVG851972 E917508:K917508 IO917508:IU917508 SK917508:SQ917508 ACG917508:ACM917508 AMC917508:AMI917508 AVY917508:AWE917508 BFU917508:BGA917508 BPQ917508:BPW917508 BZM917508:BZS917508 CJI917508:CJO917508 CTE917508:CTK917508 DDA917508:DDG917508 DMW917508:DNC917508 DWS917508:DWY917508 EGO917508:EGU917508 EQK917508:EQQ917508 FAG917508:FAM917508 FKC917508:FKI917508 FTY917508:FUE917508 GDU917508:GEA917508 GNQ917508:GNW917508 GXM917508:GXS917508 HHI917508:HHO917508 HRE917508:HRK917508 IBA917508:IBG917508 IKW917508:ILC917508 IUS917508:IUY917508 JEO917508:JEU917508 JOK917508:JOQ917508 JYG917508:JYM917508 KIC917508:KII917508 KRY917508:KSE917508 LBU917508:LCA917508 LLQ917508:LLW917508 LVM917508:LVS917508 MFI917508:MFO917508 MPE917508:MPK917508 MZA917508:MZG917508 NIW917508:NJC917508 NSS917508:NSY917508 OCO917508:OCU917508 OMK917508:OMQ917508 OWG917508:OWM917508 PGC917508:PGI917508 PPY917508:PQE917508 PZU917508:QAA917508 QJQ917508:QJW917508 QTM917508:QTS917508 RDI917508:RDO917508 RNE917508:RNK917508 RXA917508:RXG917508 SGW917508:SHC917508 SQS917508:SQY917508 TAO917508:TAU917508 TKK917508:TKQ917508 TUG917508:TUM917508 UEC917508:UEI917508 UNY917508:UOE917508 UXU917508:UYA917508 VHQ917508:VHW917508 VRM917508:VRS917508 WBI917508:WBO917508 WLE917508:WLK917508 WVA917508:WVG917508 E983044:K983044 IO983044:IU983044 SK983044:SQ983044 ACG983044:ACM983044 AMC983044:AMI983044 AVY983044:AWE983044 BFU983044:BGA983044 BPQ983044:BPW983044 BZM983044:BZS983044 CJI983044:CJO983044 CTE983044:CTK983044 DDA983044:DDG983044 DMW983044:DNC983044 DWS983044:DWY983044 EGO983044:EGU983044 EQK983044:EQQ983044 FAG983044:FAM983044 FKC983044:FKI983044 FTY983044:FUE983044 GDU983044:GEA983044 GNQ983044:GNW983044 GXM983044:GXS983044 HHI983044:HHO983044 HRE983044:HRK983044 IBA983044:IBG983044 IKW983044:ILC983044 IUS983044:IUY983044 JEO983044:JEU983044 JOK983044:JOQ983044 JYG983044:JYM983044 KIC983044:KII983044 KRY983044:KSE983044 LBU983044:LCA983044 LLQ983044:LLW983044 LVM983044:LVS983044 MFI983044:MFO983044 MPE983044:MPK983044 MZA983044:MZG983044 NIW983044:NJC983044 NSS983044:NSY983044 OCO983044:OCU983044 OMK983044:OMQ983044 OWG983044:OWM983044 PGC983044:PGI983044 PPY983044:PQE983044 PZU983044:QAA983044 QJQ983044:QJW983044 QTM983044:QTS983044 RDI983044:RDO983044 RNE983044:RNK983044 RXA983044:RXG983044 SGW983044:SHC983044 SQS983044:SQY983044 TAO983044:TAU983044 TKK983044:TKQ983044 TUG983044:TUM983044 UEC983044:UEI983044 UNY983044:UOE983044 UXU983044:UYA983044 VHQ983044:VHW983044 VRM983044:VRS983044 WBI983044:WBO983044 WLE983044:WLK983044">
      <formula1>$N$7:$N$45</formula1>
    </dataValidation>
    <dataValidation type="list" allowBlank="1" showInputMessage="1" showErrorMessage="1" sqref="E4:M4">
      <formula1>$O$7:$O$42</formula1>
    </dataValidation>
  </dataValidations>
  <pageMargins left="0.47244094488188981" right="0.23622047244094491" top="0.27559055118110237" bottom="0.31496062992125984" header="1.3385826771653544" footer="0.15748031496062992"/>
  <pageSetup paperSize="9"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BA926D31-E3C0-4A7E-81BC-0B5E8D197F92}">
            <xm:f>IF(AND($C7&lt;&gt;PM!$AG$17,ISTEXT($C$4)),1,0)</xm:f>
            <x14:dxf>
              <font>
                <color theme="0"/>
              </font>
            </x14:dxf>
          </x14:cfRule>
          <xm:sqref>D7:D74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P169"/>
  <sheetViews>
    <sheetView zoomScale="125" zoomScaleNormal="125" workbookViewId="0">
      <selection activeCell="E4" sqref="E4"/>
    </sheetView>
  </sheetViews>
  <sheetFormatPr defaultRowHeight="12.75" x14ac:dyDescent="0.2"/>
  <cols>
    <col min="1" max="1" width="3.7109375" style="680" customWidth="1"/>
    <col min="2" max="2" width="2.42578125" style="680" customWidth="1"/>
    <col min="3" max="3" width="2.85546875" style="680" customWidth="1"/>
    <col min="4" max="4" width="2.85546875" style="680" hidden="1" customWidth="1"/>
    <col min="5" max="13" width="7.7109375" style="680" customWidth="1"/>
    <col min="14" max="14" width="6.5703125" style="680" customWidth="1"/>
    <col min="15" max="15" width="10.85546875" style="680" customWidth="1"/>
    <col min="16" max="16" width="9.140625" style="680" hidden="1" customWidth="1"/>
    <col min="17" max="18" width="9.140625" style="680" customWidth="1"/>
    <col min="19" max="245" width="9.140625" style="680"/>
    <col min="246" max="246" width="3.7109375" style="680" customWidth="1"/>
    <col min="247" max="247" width="2.42578125" style="680" customWidth="1"/>
    <col min="248" max="248" width="2.85546875" style="680" customWidth="1"/>
    <col min="249" max="257" width="7.7109375" style="680" customWidth="1"/>
    <col min="258" max="258" width="6.5703125" style="680" customWidth="1"/>
    <col min="259" max="259" width="10.85546875" style="680" customWidth="1"/>
    <col min="260" max="260" width="0" style="680" hidden="1" customWidth="1"/>
    <col min="261" max="501" width="9.140625" style="680"/>
    <col min="502" max="502" width="3.7109375" style="680" customWidth="1"/>
    <col min="503" max="503" width="2.42578125" style="680" customWidth="1"/>
    <col min="504" max="504" width="2.85546875" style="680" customWidth="1"/>
    <col min="505" max="513" width="7.7109375" style="680" customWidth="1"/>
    <col min="514" max="514" width="6.5703125" style="680" customWidth="1"/>
    <col min="515" max="515" width="10.85546875" style="680" customWidth="1"/>
    <col min="516" max="516" width="0" style="680" hidden="1" customWidth="1"/>
    <col min="517" max="757" width="9.140625" style="680"/>
    <col min="758" max="758" width="3.7109375" style="680" customWidth="1"/>
    <col min="759" max="759" width="2.42578125" style="680" customWidth="1"/>
    <col min="760" max="760" width="2.85546875" style="680" customWidth="1"/>
    <col min="761" max="769" width="7.7109375" style="680" customWidth="1"/>
    <col min="770" max="770" width="6.5703125" style="680" customWidth="1"/>
    <col min="771" max="771" width="10.85546875" style="680" customWidth="1"/>
    <col min="772" max="772" width="0" style="680" hidden="1" customWidth="1"/>
    <col min="773" max="1013" width="9.140625" style="680"/>
    <col min="1014" max="1014" width="3.7109375" style="680" customWidth="1"/>
    <col min="1015" max="1015" width="2.42578125" style="680" customWidth="1"/>
    <col min="1016" max="1016" width="2.85546875" style="680" customWidth="1"/>
    <col min="1017" max="1025" width="7.7109375" style="680" customWidth="1"/>
    <col min="1026" max="1026" width="6.5703125" style="680" customWidth="1"/>
    <col min="1027" max="1027" width="10.85546875" style="680" customWidth="1"/>
    <col min="1028" max="1028" width="0" style="680" hidden="1" customWidth="1"/>
    <col min="1029" max="1269" width="9.140625" style="680"/>
    <col min="1270" max="1270" width="3.7109375" style="680" customWidth="1"/>
    <col min="1271" max="1271" width="2.42578125" style="680" customWidth="1"/>
    <col min="1272" max="1272" width="2.85546875" style="680" customWidth="1"/>
    <col min="1273" max="1281" width="7.7109375" style="680" customWidth="1"/>
    <col min="1282" max="1282" width="6.5703125" style="680" customWidth="1"/>
    <col min="1283" max="1283" width="10.85546875" style="680" customWidth="1"/>
    <col min="1284" max="1284" width="0" style="680" hidden="1" customWidth="1"/>
    <col min="1285" max="1525" width="9.140625" style="680"/>
    <col min="1526" max="1526" width="3.7109375" style="680" customWidth="1"/>
    <col min="1527" max="1527" width="2.42578125" style="680" customWidth="1"/>
    <col min="1528" max="1528" width="2.85546875" style="680" customWidth="1"/>
    <col min="1529" max="1537" width="7.7109375" style="680" customWidth="1"/>
    <col min="1538" max="1538" width="6.5703125" style="680" customWidth="1"/>
    <col min="1539" max="1539" width="10.85546875" style="680" customWidth="1"/>
    <col min="1540" max="1540" width="0" style="680" hidden="1" customWidth="1"/>
    <col min="1541" max="1781" width="9.140625" style="680"/>
    <col min="1782" max="1782" width="3.7109375" style="680" customWidth="1"/>
    <col min="1783" max="1783" width="2.42578125" style="680" customWidth="1"/>
    <col min="1784" max="1784" width="2.85546875" style="680" customWidth="1"/>
    <col min="1785" max="1793" width="7.7109375" style="680" customWidth="1"/>
    <col min="1794" max="1794" width="6.5703125" style="680" customWidth="1"/>
    <col min="1795" max="1795" width="10.85546875" style="680" customWidth="1"/>
    <col min="1796" max="1796" width="0" style="680" hidden="1" customWidth="1"/>
    <col min="1797" max="2037" width="9.140625" style="680"/>
    <col min="2038" max="2038" width="3.7109375" style="680" customWidth="1"/>
    <col min="2039" max="2039" width="2.42578125" style="680" customWidth="1"/>
    <col min="2040" max="2040" width="2.85546875" style="680" customWidth="1"/>
    <col min="2041" max="2049" width="7.7109375" style="680" customWidth="1"/>
    <col min="2050" max="2050" width="6.5703125" style="680" customWidth="1"/>
    <col min="2051" max="2051" width="10.85546875" style="680" customWidth="1"/>
    <col min="2052" max="2052" width="0" style="680" hidden="1" customWidth="1"/>
    <col min="2053" max="2293" width="9.140625" style="680"/>
    <col min="2294" max="2294" width="3.7109375" style="680" customWidth="1"/>
    <col min="2295" max="2295" width="2.42578125" style="680" customWidth="1"/>
    <col min="2296" max="2296" width="2.85546875" style="680" customWidth="1"/>
    <col min="2297" max="2305" width="7.7109375" style="680" customWidth="1"/>
    <col min="2306" max="2306" width="6.5703125" style="680" customWidth="1"/>
    <col min="2307" max="2307" width="10.85546875" style="680" customWidth="1"/>
    <col min="2308" max="2308" width="0" style="680" hidden="1" customWidth="1"/>
    <col min="2309" max="2549" width="9.140625" style="680"/>
    <col min="2550" max="2550" width="3.7109375" style="680" customWidth="1"/>
    <col min="2551" max="2551" width="2.42578125" style="680" customWidth="1"/>
    <col min="2552" max="2552" width="2.85546875" style="680" customWidth="1"/>
    <col min="2553" max="2561" width="7.7109375" style="680" customWidth="1"/>
    <col min="2562" max="2562" width="6.5703125" style="680" customWidth="1"/>
    <col min="2563" max="2563" width="10.85546875" style="680" customWidth="1"/>
    <col min="2564" max="2564" width="0" style="680" hidden="1" customWidth="1"/>
    <col min="2565" max="2805" width="9.140625" style="680"/>
    <col min="2806" max="2806" width="3.7109375" style="680" customWidth="1"/>
    <col min="2807" max="2807" width="2.42578125" style="680" customWidth="1"/>
    <col min="2808" max="2808" width="2.85546875" style="680" customWidth="1"/>
    <col min="2809" max="2817" width="7.7109375" style="680" customWidth="1"/>
    <col min="2818" max="2818" width="6.5703125" style="680" customWidth="1"/>
    <col min="2819" max="2819" width="10.85546875" style="680" customWidth="1"/>
    <col min="2820" max="2820" width="0" style="680" hidden="1" customWidth="1"/>
    <col min="2821" max="3061" width="9.140625" style="680"/>
    <col min="3062" max="3062" width="3.7109375" style="680" customWidth="1"/>
    <col min="3063" max="3063" width="2.42578125" style="680" customWidth="1"/>
    <col min="3064" max="3064" width="2.85546875" style="680" customWidth="1"/>
    <col min="3065" max="3073" width="7.7109375" style="680" customWidth="1"/>
    <col min="3074" max="3074" width="6.5703125" style="680" customWidth="1"/>
    <col min="3075" max="3075" width="10.85546875" style="680" customWidth="1"/>
    <col min="3076" max="3076" width="0" style="680" hidden="1" customWidth="1"/>
    <col min="3077" max="3317" width="9.140625" style="680"/>
    <col min="3318" max="3318" width="3.7109375" style="680" customWidth="1"/>
    <col min="3319" max="3319" width="2.42578125" style="680" customWidth="1"/>
    <col min="3320" max="3320" width="2.85546875" style="680" customWidth="1"/>
    <col min="3321" max="3329" width="7.7109375" style="680" customWidth="1"/>
    <col min="3330" max="3330" width="6.5703125" style="680" customWidth="1"/>
    <col min="3331" max="3331" width="10.85546875" style="680" customWidth="1"/>
    <col min="3332" max="3332" width="0" style="680" hidden="1" customWidth="1"/>
    <col min="3333" max="3573" width="9.140625" style="680"/>
    <col min="3574" max="3574" width="3.7109375" style="680" customWidth="1"/>
    <col min="3575" max="3575" width="2.42578125" style="680" customWidth="1"/>
    <col min="3576" max="3576" width="2.85546875" style="680" customWidth="1"/>
    <col min="3577" max="3585" width="7.7109375" style="680" customWidth="1"/>
    <col min="3586" max="3586" width="6.5703125" style="680" customWidth="1"/>
    <col min="3587" max="3587" width="10.85546875" style="680" customWidth="1"/>
    <col min="3588" max="3588" width="0" style="680" hidden="1" customWidth="1"/>
    <col min="3589" max="3829" width="9.140625" style="680"/>
    <col min="3830" max="3830" width="3.7109375" style="680" customWidth="1"/>
    <col min="3831" max="3831" width="2.42578125" style="680" customWidth="1"/>
    <col min="3832" max="3832" width="2.85546875" style="680" customWidth="1"/>
    <col min="3833" max="3841" width="7.7109375" style="680" customWidth="1"/>
    <col min="3842" max="3842" width="6.5703125" style="680" customWidth="1"/>
    <col min="3843" max="3843" width="10.85546875" style="680" customWidth="1"/>
    <col min="3844" max="3844" width="0" style="680" hidden="1" customWidth="1"/>
    <col min="3845" max="4085" width="9.140625" style="680"/>
    <col min="4086" max="4086" width="3.7109375" style="680" customWidth="1"/>
    <col min="4087" max="4087" width="2.42578125" style="680" customWidth="1"/>
    <col min="4088" max="4088" width="2.85546875" style="680" customWidth="1"/>
    <col min="4089" max="4097" width="7.7109375" style="680" customWidth="1"/>
    <col min="4098" max="4098" width="6.5703125" style="680" customWidth="1"/>
    <col min="4099" max="4099" width="10.85546875" style="680" customWidth="1"/>
    <col min="4100" max="4100" width="0" style="680" hidden="1" customWidth="1"/>
    <col min="4101" max="4341" width="9.140625" style="680"/>
    <col min="4342" max="4342" width="3.7109375" style="680" customWidth="1"/>
    <col min="4343" max="4343" width="2.42578125" style="680" customWidth="1"/>
    <col min="4344" max="4344" width="2.85546875" style="680" customWidth="1"/>
    <col min="4345" max="4353" width="7.7109375" style="680" customWidth="1"/>
    <col min="4354" max="4354" width="6.5703125" style="680" customWidth="1"/>
    <col min="4355" max="4355" width="10.85546875" style="680" customWidth="1"/>
    <col min="4356" max="4356" width="0" style="680" hidden="1" customWidth="1"/>
    <col min="4357" max="4597" width="9.140625" style="680"/>
    <col min="4598" max="4598" width="3.7109375" style="680" customWidth="1"/>
    <col min="4599" max="4599" width="2.42578125" style="680" customWidth="1"/>
    <col min="4600" max="4600" width="2.85546875" style="680" customWidth="1"/>
    <col min="4601" max="4609" width="7.7109375" style="680" customWidth="1"/>
    <col min="4610" max="4610" width="6.5703125" style="680" customWidth="1"/>
    <col min="4611" max="4611" width="10.85546875" style="680" customWidth="1"/>
    <col min="4612" max="4612" width="0" style="680" hidden="1" customWidth="1"/>
    <col min="4613" max="4853" width="9.140625" style="680"/>
    <col min="4854" max="4854" width="3.7109375" style="680" customWidth="1"/>
    <col min="4855" max="4855" width="2.42578125" style="680" customWidth="1"/>
    <col min="4856" max="4856" width="2.85546875" style="680" customWidth="1"/>
    <col min="4857" max="4865" width="7.7109375" style="680" customWidth="1"/>
    <col min="4866" max="4866" width="6.5703125" style="680" customWidth="1"/>
    <col min="4867" max="4867" width="10.85546875" style="680" customWidth="1"/>
    <col min="4868" max="4868" width="0" style="680" hidden="1" customWidth="1"/>
    <col min="4869" max="5109" width="9.140625" style="680"/>
    <col min="5110" max="5110" width="3.7109375" style="680" customWidth="1"/>
    <col min="5111" max="5111" width="2.42578125" style="680" customWidth="1"/>
    <col min="5112" max="5112" width="2.85546875" style="680" customWidth="1"/>
    <col min="5113" max="5121" width="7.7109375" style="680" customWidth="1"/>
    <col min="5122" max="5122" width="6.5703125" style="680" customWidth="1"/>
    <col min="5123" max="5123" width="10.85546875" style="680" customWidth="1"/>
    <col min="5124" max="5124" width="0" style="680" hidden="1" customWidth="1"/>
    <col min="5125" max="5365" width="9.140625" style="680"/>
    <col min="5366" max="5366" width="3.7109375" style="680" customWidth="1"/>
    <col min="5367" max="5367" width="2.42578125" style="680" customWidth="1"/>
    <col min="5368" max="5368" width="2.85546875" style="680" customWidth="1"/>
    <col min="5369" max="5377" width="7.7109375" style="680" customWidth="1"/>
    <col min="5378" max="5378" width="6.5703125" style="680" customWidth="1"/>
    <col min="5379" max="5379" width="10.85546875" style="680" customWidth="1"/>
    <col min="5380" max="5380" width="0" style="680" hidden="1" customWidth="1"/>
    <col min="5381" max="5621" width="9.140625" style="680"/>
    <col min="5622" max="5622" width="3.7109375" style="680" customWidth="1"/>
    <col min="5623" max="5623" width="2.42578125" style="680" customWidth="1"/>
    <col min="5624" max="5624" width="2.85546875" style="680" customWidth="1"/>
    <col min="5625" max="5633" width="7.7109375" style="680" customWidth="1"/>
    <col min="5634" max="5634" width="6.5703125" style="680" customWidth="1"/>
    <col min="5635" max="5635" width="10.85546875" style="680" customWidth="1"/>
    <col min="5636" max="5636" width="0" style="680" hidden="1" customWidth="1"/>
    <col min="5637" max="5877" width="9.140625" style="680"/>
    <col min="5878" max="5878" width="3.7109375" style="680" customWidth="1"/>
    <col min="5879" max="5879" width="2.42578125" style="680" customWidth="1"/>
    <col min="5880" max="5880" width="2.85546875" style="680" customWidth="1"/>
    <col min="5881" max="5889" width="7.7109375" style="680" customWidth="1"/>
    <col min="5890" max="5890" width="6.5703125" style="680" customWidth="1"/>
    <col min="5891" max="5891" width="10.85546875" style="680" customWidth="1"/>
    <col min="5892" max="5892" width="0" style="680" hidden="1" customWidth="1"/>
    <col min="5893" max="6133" width="9.140625" style="680"/>
    <col min="6134" max="6134" width="3.7109375" style="680" customWidth="1"/>
    <col min="6135" max="6135" width="2.42578125" style="680" customWidth="1"/>
    <col min="6136" max="6136" width="2.85546875" style="680" customWidth="1"/>
    <col min="6137" max="6145" width="7.7109375" style="680" customWidth="1"/>
    <col min="6146" max="6146" width="6.5703125" style="680" customWidth="1"/>
    <col min="6147" max="6147" width="10.85546875" style="680" customWidth="1"/>
    <col min="6148" max="6148" width="0" style="680" hidden="1" customWidth="1"/>
    <col min="6149" max="6389" width="9.140625" style="680"/>
    <col min="6390" max="6390" width="3.7109375" style="680" customWidth="1"/>
    <col min="6391" max="6391" width="2.42578125" style="680" customWidth="1"/>
    <col min="6392" max="6392" width="2.85546875" style="680" customWidth="1"/>
    <col min="6393" max="6401" width="7.7109375" style="680" customWidth="1"/>
    <col min="6402" max="6402" width="6.5703125" style="680" customWidth="1"/>
    <col min="6403" max="6403" width="10.85546875" style="680" customWidth="1"/>
    <col min="6404" max="6404" width="0" style="680" hidden="1" customWidth="1"/>
    <col min="6405" max="6645" width="9.140625" style="680"/>
    <col min="6646" max="6646" width="3.7109375" style="680" customWidth="1"/>
    <col min="6647" max="6647" width="2.42578125" style="680" customWidth="1"/>
    <col min="6648" max="6648" width="2.85546875" style="680" customWidth="1"/>
    <col min="6649" max="6657" width="7.7109375" style="680" customWidth="1"/>
    <col min="6658" max="6658" width="6.5703125" style="680" customWidth="1"/>
    <col min="6659" max="6659" width="10.85546875" style="680" customWidth="1"/>
    <col min="6660" max="6660" width="0" style="680" hidden="1" customWidth="1"/>
    <col min="6661" max="6901" width="9.140625" style="680"/>
    <col min="6902" max="6902" width="3.7109375" style="680" customWidth="1"/>
    <col min="6903" max="6903" width="2.42578125" style="680" customWidth="1"/>
    <col min="6904" max="6904" width="2.85546875" style="680" customWidth="1"/>
    <col min="6905" max="6913" width="7.7109375" style="680" customWidth="1"/>
    <col min="6914" max="6914" width="6.5703125" style="680" customWidth="1"/>
    <col min="6915" max="6915" width="10.85546875" style="680" customWidth="1"/>
    <col min="6916" max="6916" width="0" style="680" hidden="1" customWidth="1"/>
    <col min="6917" max="7157" width="9.140625" style="680"/>
    <col min="7158" max="7158" width="3.7109375" style="680" customWidth="1"/>
    <col min="7159" max="7159" width="2.42578125" style="680" customWidth="1"/>
    <col min="7160" max="7160" width="2.85546875" style="680" customWidth="1"/>
    <col min="7161" max="7169" width="7.7109375" style="680" customWidth="1"/>
    <col min="7170" max="7170" width="6.5703125" style="680" customWidth="1"/>
    <col min="7171" max="7171" width="10.85546875" style="680" customWidth="1"/>
    <col min="7172" max="7172" width="0" style="680" hidden="1" customWidth="1"/>
    <col min="7173" max="7413" width="9.140625" style="680"/>
    <col min="7414" max="7414" width="3.7109375" style="680" customWidth="1"/>
    <col min="7415" max="7415" width="2.42578125" style="680" customWidth="1"/>
    <col min="7416" max="7416" width="2.85546875" style="680" customWidth="1"/>
    <col min="7417" max="7425" width="7.7109375" style="680" customWidth="1"/>
    <col min="7426" max="7426" width="6.5703125" style="680" customWidth="1"/>
    <col min="7427" max="7427" width="10.85546875" style="680" customWidth="1"/>
    <col min="7428" max="7428" width="0" style="680" hidden="1" customWidth="1"/>
    <col min="7429" max="7669" width="9.140625" style="680"/>
    <col min="7670" max="7670" width="3.7109375" style="680" customWidth="1"/>
    <col min="7671" max="7671" width="2.42578125" style="680" customWidth="1"/>
    <col min="7672" max="7672" width="2.85546875" style="680" customWidth="1"/>
    <col min="7673" max="7681" width="7.7109375" style="680" customWidth="1"/>
    <col min="7682" max="7682" width="6.5703125" style="680" customWidth="1"/>
    <col min="7683" max="7683" width="10.85546875" style="680" customWidth="1"/>
    <col min="7684" max="7684" width="0" style="680" hidden="1" customWidth="1"/>
    <col min="7685" max="7925" width="9.140625" style="680"/>
    <col min="7926" max="7926" width="3.7109375" style="680" customWidth="1"/>
    <col min="7927" max="7927" width="2.42578125" style="680" customWidth="1"/>
    <col min="7928" max="7928" width="2.85546875" style="680" customWidth="1"/>
    <col min="7929" max="7937" width="7.7109375" style="680" customWidth="1"/>
    <col min="7938" max="7938" width="6.5703125" style="680" customWidth="1"/>
    <col min="7939" max="7939" width="10.85546875" style="680" customWidth="1"/>
    <col min="7940" max="7940" width="0" style="680" hidden="1" customWidth="1"/>
    <col min="7941" max="8181" width="9.140625" style="680"/>
    <col min="8182" max="8182" width="3.7109375" style="680" customWidth="1"/>
    <col min="8183" max="8183" width="2.42578125" style="680" customWidth="1"/>
    <col min="8184" max="8184" width="2.85546875" style="680" customWidth="1"/>
    <col min="8185" max="8193" width="7.7109375" style="680" customWidth="1"/>
    <col min="8194" max="8194" width="6.5703125" style="680" customWidth="1"/>
    <col min="8195" max="8195" width="10.85546875" style="680" customWidth="1"/>
    <col min="8196" max="8196" width="0" style="680" hidden="1" customWidth="1"/>
    <col min="8197" max="8437" width="9.140625" style="680"/>
    <col min="8438" max="8438" width="3.7109375" style="680" customWidth="1"/>
    <col min="8439" max="8439" width="2.42578125" style="680" customWidth="1"/>
    <col min="8440" max="8440" width="2.85546875" style="680" customWidth="1"/>
    <col min="8441" max="8449" width="7.7109375" style="680" customWidth="1"/>
    <col min="8450" max="8450" width="6.5703125" style="680" customWidth="1"/>
    <col min="8451" max="8451" width="10.85546875" style="680" customWidth="1"/>
    <col min="8452" max="8452" width="0" style="680" hidden="1" customWidth="1"/>
    <col min="8453" max="8693" width="9.140625" style="680"/>
    <col min="8694" max="8694" width="3.7109375" style="680" customWidth="1"/>
    <col min="8695" max="8695" width="2.42578125" style="680" customWidth="1"/>
    <col min="8696" max="8696" width="2.85546875" style="680" customWidth="1"/>
    <col min="8697" max="8705" width="7.7109375" style="680" customWidth="1"/>
    <col min="8706" max="8706" width="6.5703125" style="680" customWidth="1"/>
    <col min="8707" max="8707" width="10.85546875" style="680" customWidth="1"/>
    <col min="8708" max="8708" width="0" style="680" hidden="1" customWidth="1"/>
    <col min="8709" max="8949" width="9.140625" style="680"/>
    <col min="8950" max="8950" width="3.7109375" style="680" customWidth="1"/>
    <col min="8951" max="8951" width="2.42578125" style="680" customWidth="1"/>
    <col min="8952" max="8952" width="2.85546875" style="680" customWidth="1"/>
    <col min="8953" max="8961" width="7.7109375" style="680" customWidth="1"/>
    <col min="8962" max="8962" width="6.5703125" style="680" customWidth="1"/>
    <col min="8963" max="8963" width="10.85546875" style="680" customWidth="1"/>
    <col min="8964" max="8964" width="0" style="680" hidden="1" customWidth="1"/>
    <col min="8965" max="9205" width="9.140625" style="680"/>
    <col min="9206" max="9206" width="3.7109375" style="680" customWidth="1"/>
    <col min="9207" max="9207" width="2.42578125" style="680" customWidth="1"/>
    <col min="9208" max="9208" width="2.85546875" style="680" customWidth="1"/>
    <col min="9209" max="9217" width="7.7109375" style="680" customWidth="1"/>
    <col min="9218" max="9218" width="6.5703125" style="680" customWidth="1"/>
    <col min="9219" max="9219" width="10.85546875" style="680" customWidth="1"/>
    <col min="9220" max="9220" width="0" style="680" hidden="1" customWidth="1"/>
    <col min="9221" max="9461" width="9.140625" style="680"/>
    <col min="9462" max="9462" width="3.7109375" style="680" customWidth="1"/>
    <col min="9463" max="9463" width="2.42578125" style="680" customWidth="1"/>
    <col min="9464" max="9464" width="2.85546875" style="680" customWidth="1"/>
    <col min="9465" max="9473" width="7.7109375" style="680" customWidth="1"/>
    <col min="9474" max="9474" width="6.5703125" style="680" customWidth="1"/>
    <col min="9475" max="9475" width="10.85546875" style="680" customWidth="1"/>
    <col min="9476" max="9476" width="0" style="680" hidden="1" customWidth="1"/>
    <col min="9477" max="9717" width="9.140625" style="680"/>
    <col min="9718" max="9718" width="3.7109375" style="680" customWidth="1"/>
    <col min="9719" max="9719" width="2.42578125" style="680" customWidth="1"/>
    <col min="9720" max="9720" width="2.85546875" style="680" customWidth="1"/>
    <col min="9721" max="9729" width="7.7109375" style="680" customWidth="1"/>
    <col min="9730" max="9730" width="6.5703125" style="680" customWidth="1"/>
    <col min="9731" max="9731" width="10.85546875" style="680" customWidth="1"/>
    <col min="9732" max="9732" width="0" style="680" hidden="1" customWidth="1"/>
    <col min="9733" max="9973" width="9.140625" style="680"/>
    <col min="9974" max="9974" width="3.7109375" style="680" customWidth="1"/>
    <col min="9975" max="9975" width="2.42578125" style="680" customWidth="1"/>
    <col min="9976" max="9976" width="2.85546875" style="680" customWidth="1"/>
    <col min="9977" max="9985" width="7.7109375" style="680" customWidth="1"/>
    <col min="9986" max="9986" width="6.5703125" style="680" customWidth="1"/>
    <col min="9987" max="9987" width="10.85546875" style="680" customWidth="1"/>
    <col min="9988" max="9988" width="0" style="680" hidden="1" customWidth="1"/>
    <col min="9989" max="10229" width="9.140625" style="680"/>
    <col min="10230" max="10230" width="3.7109375" style="680" customWidth="1"/>
    <col min="10231" max="10231" width="2.42578125" style="680" customWidth="1"/>
    <col min="10232" max="10232" width="2.85546875" style="680" customWidth="1"/>
    <col min="10233" max="10241" width="7.7109375" style="680" customWidth="1"/>
    <col min="10242" max="10242" width="6.5703125" style="680" customWidth="1"/>
    <col min="10243" max="10243" width="10.85546875" style="680" customWidth="1"/>
    <col min="10244" max="10244" width="0" style="680" hidden="1" customWidth="1"/>
    <col min="10245" max="10485" width="9.140625" style="680"/>
    <col min="10486" max="10486" width="3.7109375" style="680" customWidth="1"/>
    <col min="10487" max="10487" width="2.42578125" style="680" customWidth="1"/>
    <col min="10488" max="10488" width="2.85546875" style="680" customWidth="1"/>
    <col min="10489" max="10497" width="7.7109375" style="680" customWidth="1"/>
    <col min="10498" max="10498" width="6.5703125" style="680" customWidth="1"/>
    <col min="10499" max="10499" width="10.85546875" style="680" customWidth="1"/>
    <col min="10500" max="10500" width="0" style="680" hidden="1" customWidth="1"/>
    <col min="10501" max="10741" width="9.140625" style="680"/>
    <col min="10742" max="10742" width="3.7109375" style="680" customWidth="1"/>
    <col min="10743" max="10743" width="2.42578125" style="680" customWidth="1"/>
    <col min="10744" max="10744" width="2.85546875" style="680" customWidth="1"/>
    <col min="10745" max="10753" width="7.7109375" style="680" customWidth="1"/>
    <col min="10754" max="10754" width="6.5703125" style="680" customWidth="1"/>
    <col min="10755" max="10755" width="10.85546875" style="680" customWidth="1"/>
    <col min="10756" max="10756" width="0" style="680" hidden="1" customWidth="1"/>
    <col min="10757" max="10997" width="9.140625" style="680"/>
    <col min="10998" max="10998" width="3.7109375" style="680" customWidth="1"/>
    <col min="10999" max="10999" width="2.42578125" style="680" customWidth="1"/>
    <col min="11000" max="11000" width="2.85546875" style="680" customWidth="1"/>
    <col min="11001" max="11009" width="7.7109375" style="680" customWidth="1"/>
    <col min="11010" max="11010" width="6.5703125" style="680" customWidth="1"/>
    <col min="11011" max="11011" width="10.85546875" style="680" customWidth="1"/>
    <col min="11012" max="11012" width="0" style="680" hidden="1" customWidth="1"/>
    <col min="11013" max="11253" width="9.140625" style="680"/>
    <col min="11254" max="11254" width="3.7109375" style="680" customWidth="1"/>
    <col min="11255" max="11255" width="2.42578125" style="680" customWidth="1"/>
    <col min="11256" max="11256" width="2.85546875" style="680" customWidth="1"/>
    <col min="11257" max="11265" width="7.7109375" style="680" customWidth="1"/>
    <col min="11266" max="11266" width="6.5703125" style="680" customWidth="1"/>
    <col min="11267" max="11267" width="10.85546875" style="680" customWidth="1"/>
    <col min="11268" max="11268" width="0" style="680" hidden="1" customWidth="1"/>
    <col min="11269" max="11509" width="9.140625" style="680"/>
    <col min="11510" max="11510" width="3.7109375" style="680" customWidth="1"/>
    <col min="11511" max="11511" width="2.42578125" style="680" customWidth="1"/>
    <col min="11512" max="11512" width="2.85546875" style="680" customWidth="1"/>
    <col min="11513" max="11521" width="7.7109375" style="680" customWidth="1"/>
    <col min="11522" max="11522" width="6.5703125" style="680" customWidth="1"/>
    <col min="11523" max="11523" width="10.85546875" style="680" customWidth="1"/>
    <col min="11524" max="11524" width="0" style="680" hidden="1" customWidth="1"/>
    <col min="11525" max="11765" width="9.140625" style="680"/>
    <col min="11766" max="11766" width="3.7109375" style="680" customWidth="1"/>
    <col min="11767" max="11767" width="2.42578125" style="680" customWidth="1"/>
    <col min="11768" max="11768" width="2.85546875" style="680" customWidth="1"/>
    <col min="11769" max="11777" width="7.7109375" style="680" customWidth="1"/>
    <col min="11778" max="11778" width="6.5703125" style="680" customWidth="1"/>
    <col min="11779" max="11779" width="10.85546875" style="680" customWidth="1"/>
    <col min="11780" max="11780" width="0" style="680" hidden="1" customWidth="1"/>
    <col min="11781" max="12021" width="9.140625" style="680"/>
    <col min="12022" max="12022" width="3.7109375" style="680" customWidth="1"/>
    <col min="12023" max="12023" width="2.42578125" style="680" customWidth="1"/>
    <col min="12024" max="12024" width="2.85546875" style="680" customWidth="1"/>
    <col min="12025" max="12033" width="7.7109375" style="680" customWidth="1"/>
    <col min="12034" max="12034" width="6.5703125" style="680" customWidth="1"/>
    <col min="12035" max="12035" width="10.85546875" style="680" customWidth="1"/>
    <col min="12036" max="12036" width="0" style="680" hidden="1" customWidth="1"/>
    <col min="12037" max="12277" width="9.140625" style="680"/>
    <col min="12278" max="12278" width="3.7109375" style="680" customWidth="1"/>
    <col min="12279" max="12279" width="2.42578125" style="680" customWidth="1"/>
    <col min="12280" max="12280" width="2.85546875" style="680" customWidth="1"/>
    <col min="12281" max="12289" width="7.7109375" style="680" customWidth="1"/>
    <col min="12290" max="12290" width="6.5703125" style="680" customWidth="1"/>
    <col min="12291" max="12291" width="10.85546875" style="680" customWidth="1"/>
    <col min="12292" max="12292" width="0" style="680" hidden="1" customWidth="1"/>
    <col min="12293" max="12533" width="9.140625" style="680"/>
    <col min="12534" max="12534" width="3.7109375" style="680" customWidth="1"/>
    <col min="12535" max="12535" width="2.42578125" style="680" customWidth="1"/>
    <col min="12536" max="12536" width="2.85546875" style="680" customWidth="1"/>
    <col min="12537" max="12545" width="7.7109375" style="680" customWidth="1"/>
    <col min="12546" max="12546" width="6.5703125" style="680" customWidth="1"/>
    <col min="12547" max="12547" width="10.85546875" style="680" customWidth="1"/>
    <col min="12548" max="12548" width="0" style="680" hidden="1" customWidth="1"/>
    <col min="12549" max="12789" width="9.140625" style="680"/>
    <col min="12790" max="12790" width="3.7109375" style="680" customWidth="1"/>
    <col min="12791" max="12791" width="2.42578125" style="680" customWidth="1"/>
    <col min="12792" max="12792" width="2.85546875" style="680" customWidth="1"/>
    <col min="12793" max="12801" width="7.7109375" style="680" customWidth="1"/>
    <col min="12802" max="12802" width="6.5703125" style="680" customWidth="1"/>
    <col min="12803" max="12803" width="10.85546875" style="680" customWidth="1"/>
    <col min="12804" max="12804" width="0" style="680" hidden="1" customWidth="1"/>
    <col min="12805" max="13045" width="9.140625" style="680"/>
    <col min="13046" max="13046" width="3.7109375" style="680" customWidth="1"/>
    <col min="13047" max="13047" width="2.42578125" style="680" customWidth="1"/>
    <col min="13048" max="13048" width="2.85546875" style="680" customWidth="1"/>
    <col min="13049" max="13057" width="7.7109375" style="680" customWidth="1"/>
    <col min="13058" max="13058" width="6.5703125" style="680" customWidth="1"/>
    <col min="13059" max="13059" width="10.85546875" style="680" customWidth="1"/>
    <col min="13060" max="13060" width="0" style="680" hidden="1" customWidth="1"/>
    <col min="13061" max="13301" width="9.140625" style="680"/>
    <col min="13302" max="13302" width="3.7109375" style="680" customWidth="1"/>
    <col min="13303" max="13303" width="2.42578125" style="680" customWidth="1"/>
    <col min="13304" max="13304" width="2.85546875" style="680" customWidth="1"/>
    <col min="13305" max="13313" width="7.7109375" style="680" customWidth="1"/>
    <col min="13314" max="13314" width="6.5703125" style="680" customWidth="1"/>
    <col min="13315" max="13315" width="10.85546875" style="680" customWidth="1"/>
    <col min="13316" max="13316" width="0" style="680" hidden="1" customWidth="1"/>
    <col min="13317" max="13557" width="9.140625" style="680"/>
    <col min="13558" max="13558" width="3.7109375" style="680" customWidth="1"/>
    <col min="13559" max="13559" width="2.42578125" style="680" customWidth="1"/>
    <col min="13560" max="13560" width="2.85546875" style="680" customWidth="1"/>
    <col min="13561" max="13569" width="7.7109375" style="680" customWidth="1"/>
    <col min="13570" max="13570" width="6.5703125" style="680" customWidth="1"/>
    <col min="13571" max="13571" width="10.85546875" style="680" customWidth="1"/>
    <col min="13572" max="13572" width="0" style="680" hidden="1" customWidth="1"/>
    <col min="13573" max="13813" width="9.140625" style="680"/>
    <col min="13814" max="13814" width="3.7109375" style="680" customWidth="1"/>
    <col min="13815" max="13815" width="2.42578125" style="680" customWidth="1"/>
    <col min="13816" max="13816" width="2.85546875" style="680" customWidth="1"/>
    <col min="13817" max="13825" width="7.7109375" style="680" customWidth="1"/>
    <col min="13826" max="13826" width="6.5703125" style="680" customWidth="1"/>
    <col min="13827" max="13827" width="10.85546875" style="680" customWidth="1"/>
    <col min="13828" max="13828" width="0" style="680" hidden="1" customWidth="1"/>
    <col min="13829" max="14069" width="9.140625" style="680"/>
    <col min="14070" max="14070" width="3.7109375" style="680" customWidth="1"/>
    <col min="14071" max="14071" width="2.42578125" style="680" customWidth="1"/>
    <col min="14072" max="14072" width="2.85546875" style="680" customWidth="1"/>
    <col min="14073" max="14081" width="7.7109375" style="680" customWidth="1"/>
    <col min="14082" max="14082" width="6.5703125" style="680" customWidth="1"/>
    <col min="14083" max="14083" width="10.85546875" style="680" customWidth="1"/>
    <col min="14084" max="14084" width="0" style="680" hidden="1" customWidth="1"/>
    <col min="14085" max="14325" width="9.140625" style="680"/>
    <col min="14326" max="14326" width="3.7109375" style="680" customWidth="1"/>
    <col min="14327" max="14327" width="2.42578125" style="680" customWidth="1"/>
    <col min="14328" max="14328" width="2.85546875" style="680" customWidth="1"/>
    <col min="14329" max="14337" width="7.7109375" style="680" customWidth="1"/>
    <col min="14338" max="14338" width="6.5703125" style="680" customWidth="1"/>
    <col min="14339" max="14339" width="10.85546875" style="680" customWidth="1"/>
    <col min="14340" max="14340" width="0" style="680" hidden="1" customWidth="1"/>
    <col min="14341" max="14581" width="9.140625" style="680"/>
    <col min="14582" max="14582" width="3.7109375" style="680" customWidth="1"/>
    <col min="14583" max="14583" width="2.42578125" style="680" customWidth="1"/>
    <col min="14584" max="14584" width="2.85546875" style="680" customWidth="1"/>
    <col min="14585" max="14593" width="7.7109375" style="680" customWidth="1"/>
    <col min="14594" max="14594" width="6.5703125" style="680" customWidth="1"/>
    <col min="14595" max="14595" width="10.85546875" style="680" customWidth="1"/>
    <col min="14596" max="14596" width="0" style="680" hidden="1" customWidth="1"/>
    <col min="14597" max="14837" width="9.140625" style="680"/>
    <col min="14838" max="14838" width="3.7109375" style="680" customWidth="1"/>
    <col min="14839" max="14839" width="2.42578125" style="680" customWidth="1"/>
    <col min="14840" max="14840" width="2.85546875" style="680" customWidth="1"/>
    <col min="14841" max="14849" width="7.7109375" style="680" customWidth="1"/>
    <col min="14850" max="14850" width="6.5703125" style="680" customWidth="1"/>
    <col min="14851" max="14851" width="10.85546875" style="680" customWidth="1"/>
    <col min="14852" max="14852" width="0" style="680" hidden="1" customWidth="1"/>
    <col min="14853" max="15093" width="9.140625" style="680"/>
    <col min="15094" max="15094" width="3.7109375" style="680" customWidth="1"/>
    <col min="15095" max="15095" width="2.42578125" style="680" customWidth="1"/>
    <col min="15096" max="15096" width="2.85546875" style="680" customWidth="1"/>
    <col min="15097" max="15105" width="7.7109375" style="680" customWidth="1"/>
    <col min="15106" max="15106" width="6.5703125" style="680" customWidth="1"/>
    <col min="15107" max="15107" width="10.85546875" style="680" customWidth="1"/>
    <col min="15108" max="15108" width="0" style="680" hidden="1" customWidth="1"/>
    <col min="15109" max="15349" width="9.140625" style="680"/>
    <col min="15350" max="15350" width="3.7109375" style="680" customWidth="1"/>
    <col min="15351" max="15351" width="2.42578125" style="680" customWidth="1"/>
    <col min="15352" max="15352" width="2.85546875" style="680" customWidth="1"/>
    <col min="15353" max="15361" width="7.7109375" style="680" customWidth="1"/>
    <col min="15362" max="15362" width="6.5703125" style="680" customWidth="1"/>
    <col min="15363" max="15363" width="10.85546875" style="680" customWidth="1"/>
    <col min="15364" max="15364" width="0" style="680" hidden="1" customWidth="1"/>
    <col min="15365" max="15605" width="9.140625" style="680"/>
    <col min="15606" max="15606" width="3.7109375" style="680" customWidth="1"/>
    <col min="15607" max="15607" width="2.42578125" style="680" customWidth="1"/>
    <col min="15608" max="15608" width="2.85546875" style="680" customWidth="1"/>
    <col min="15609" max="15617" width="7.7109375" style="680" customWidth="1"/>
    <col min="15618" max="15618" width="6.5703125" style="680" customWidth="1"/>
    <col min="15619" max="15619" width="10.85546875" style="680" customWidth="1"/>
    <col min="15620" max="15620" width="0" style="680" hidden="1" customWidth="1"/>
    <col min="15621" max="15861" width="9.140625" style="680"/>
    <col min="15862" max="15862" width="3.7109375" style="680" customWidth="1"/>
    <col min="15863" max="15863" width="2.42578125" style="680" customWidth="1"/>
    <col min="15864" max="15864" width="2.85546875" style="680" customWidth="1"/>
    <col min="15865" max="15873" width="7.7109375" style="680" customWidth="1"/>
    <col min="15874" max="15874" width="6.5703125" style="680" customWidth="1"/>
    <col min="15875" max="15875" width="10.85546875" style="680" customWidth="1"/>
    <col min="15876" max="15876" width="0" style="680" hidden="1" customWidth="1"/>
    <col min="15877" max="16117" width="9.140625" style="680"/>
    <col min="16118" max="16118" width="3.7109375" style="680" customWidth="1"/>
    <col min="16119" max="16119" width="2.42578125" style="680" customWidth="1"/>
    <col min="16120" max="16120" width="2.85546875" style="680" customWidth="1"/>
    <col min="16121" max="16129" width="7.7109375" style="680" customWidth="1"/>
    <col min="16130" max="16130" width="6.5703125" style="680" customWidth="1"/>
    <col min="16131" max="16131" width="10.85546875" style="680" customWidth="1"/>
    <col min="16132" max="16132" width="0" style="680" hidden="1" customWidth="1"/>
    <col min="16133" max="16384" width="9.140625" style="680"/>
  </cols>
  <sheetData>
    <row r="1" spans="1:16" ht="9.75" customHeight="1" x14ac:dyDescent="0.2">
      <c r="A1" s="1047" t="s">
        <v>152</v>
      </c>
      <c r="B1" s="1048"/>
      <c r="C1" s="1048"/>
      <c r="D1" s="1048"/>
      <c r="E1" s="1049"/>
      <c r="F1" s="1047" t="s">
        <v>154</v>
      </c>
      <c r="G1" s="1049"/>
      <c r="H1" s="673" t="s">
        <v>155</v>
      </c>
      <c r="I1" s="674"/>
      <c r="J1" s="675" t="s">
        <v>153</v>
      </c>
      <c r="K1" s="676" t="s">
        <v>46</v>
      </c>
      <c r="L1" s="677"/>
      <c r="M1" s="678" t="s">
        <v>169</v>
      </c>
      <c r="N1" s="678" t="s">
        <v>156</v>
      </c>
      <c r="O1" s="677"/>
      <c r="P1" s="679" t="str">
        <f>IF(ISBLANK(K2),"",K2)</f>
        <v/>
      </c>
    </row>
    <row r="2" spans="1:16" s="685" customFormat="1" ht="21" customHeight="1" x14ac:dyDescent="0.25">
      <c r="A2" s="1039" t="str">
        <f>Fältkort!H91</f>
        <v>HUG066</v>
      </c>
      <c r="B2" s="1040"/>
      <c r="C2" s="1040"/>
      <c r="D2" s="1040"/>
      <c r="E2" s="1050"/>
      <c r="F2" s="681" t="str">
        <f>Fältkort!H86</f>
        <v>HU-1433</v>
      </c>
      <c r="G2" s="682"/>
      <c r="H2" s="681" t="str">
        <f>Fältkort!H94</f>
        <v>M-658-2014</v>
      </c>
      <c r="I2" s="682"/>
      <c r="J2" s="683">
        <f>PM!AF6</f>
        <v>2014</v>
      </c>
      <c r="K2" s="1037"/>
      <c r="L2" s="1038"/>
      <c r="M2" s="684"/>
      <c r="N2" s="1035"/>
      <c r="O2" s="1036"/>
      <c r="P2" s="679" t="str">
        <f>IF(ISBLANK(M2),"",M2)</f>
        <v/>
      </c>
    </row>
    <row r="3" spans="1:16" ht="12.75" customHeight="1" x14ac:dyDescent="0.2">
      <c r="A3" s="1041"/>
      <c r="B3" s="1042"/>
      <c r="C3" s="1043"/>
      <c r="D3" s="686"/>
      <c r="E3" s="687" t="s">
        <v>1205</v>
      </c>
      <c r="F3" s="687"/>
      <c r="G3" s="687"/>
      <c r="H3" s="687"/>
      <c r="I3" s="687"/>
      <c r="J3" s="687"/>
      <c r="K3" s="687"/>
      <c r="L3" s="687"/>
      <c r="M3" s="687"/>
      <c r="N3" s="688"/>
      <c r="O3" s="689"/>
      <c r="P3" s="679" t="str">
        <f>IF(ISBLANK(N2),"",N2)</f>
        <v/>
      </c>
    </row>
    <row r="4" spans="1:16" ht="19.5" customHeight="1" x14ac:dyDescent="0.2">
      <c r="A4" s="1044"/>
      <c r="B4" s="1045"/>
      <c r="C4" s="1046"/>
      <c r="D4" s="690"/>
      <c r="E4" s="691"/>
      <c r="F4" s="691"/>
      <c r="G4" s="691"/>
      <c r="H4" s="691"/>
      <c r="I4" s="691"/>
      <c r="J4" s="691"/>
      <c r="K4" s="691"/>
      <c r="L4" s="691"/>
      <c r="M4" s="691"/>
      <c r="N4" s="1051" t="str">
        <f>PM!H91</f>
        <v>G3:</v>
      </c>
      <c r="O4" s="1052"/>
    </row>
    <row r="5" spans="1:16" ht="12.75" customHeight="1" x14ac:dyDescent="0.2">
      <c r="A5" s="692" t="s">
        <v>810</v>
      </c>
      <c r="B5" s="693"/>
      <c r="C5" s="694"/>
      <c r="D5" s="694"/>
      <c r="E5" s="695" t="s">
        <v>1212</v>
      </c>
      <c r="F5" s="695" t="s">
        <v>1212</v>
      </c>
      <c r="G5" s="695" t="s">
        <v>1212</v>
      </c>
      <c r="H5" s="695" t="s">
        <v>1212</v>
      </c>
      <c r="I5" s="695" t="s">
        <v>1212</v>
      </c>
      <c r="J5" s="695" t="s">
        <v>1212</v>
      </c>
      <c r="K5" s="695" t="s">
        <v>1212</v>
      </c>
      <c r="L5" s="695" t="s">
        <v>1212</v>
      </c>
      <c r="M5" s="695" t="s">
        <v>1212</v>
      </c>
      <c r="N5" s="1053"/>
      <c r="O5" s="1054"/>
    </row>
    <row r="6" spans="1:16" ht="24" x14ac:dyDescent="0.2">
      <c r="A6" s="696" t="s">
        <v>149</v>
      </c>
      <c r="B6" s="696" t="s">
        <v>158</v>
      </c>
      <c r="C6" s="697" t="s">
        <v>157</v>
      </c>
      <c r="D6" s="697"/>
      <c r="E6" s="698"/>
      <c r="F6" s="698"/>
      <c r="G6" s="698"/>
      <c r="H6" s="698"/>
      <c r="I6" s="698"/>
      <c r="J6" s="698"/>
      <c r="K6" s="698"/>
      <c r="L6" s="698"/>
      <c r="M6" s="698"/>
      <c r="N6" s="699" t="str">
        <f>IF(ISBLANK(PM!J91),"",PM!J91)</f>
        <v/>
      </c>
      <c r="O6" s="700" t="str">
        <f>IF(ISBLANK(PM!K91),"",PM!K91)</f>
        <v>BBCH 75-85</v>
      </c>
    </row>
    <row r="7" spans="1:16" s="707" customFormat="1" ht="19.5" customHeight="1" x14ac:dyDescent="0.2">
      <c r="A7" s="701">
        <f>Led!D2</f>
        <v>1</v>
      </c>
      <c r="B7" s="702">
        <f>Led!E2</f>
        <v>1</v>
      </c>
      <c r="C7" s="703" t="str">
        <f>IF(ISNUMBER(A7),(IF(Led!F2=Led!$Q$94,Led!F2,IF(ISBLANK($C$5),"",Led!F2))),"")</f>
        <v/>
      </c>
      <c r="D7" s="703" t="str">
        <f>Led!CS2</f>
        <v>1-07</v>
      </c>
      <c r="E7" s="704"/>
      <c r="F7" s="704"/>
      <c r="G7" s="704"/>
      <c r="H7" s="704"/>
      <c r="I7" s="704"/>
      <c r="J7" s="704"/>
      <c r="K7" s="704"/>
      <c r="L7" s="704"/>
      <c r="M7" s="704"/>
      <c r="N7" s="705" t="s">
        <v>660</v>
      </c>
      <c r="O7" s="706" t="s">
        <v>661</v>
      </c>
    </row>
    <row r="8" spans="1:16" s="707" customFormat="1" ht="19.5" customHeight="1" x14ac:dyDescent="0.2">
      <c r="A8" s="701">
        <f>Led!D3</f>
        <v>2</v>
      </c>
      <c r="B8" s="702">
        <f>Led!E3</f>
        <v>1</v>
      </c>
      <c r="C8" s="703" t="str">
        <f>IF(ISNUMBER(A8),(IF(Led!F3=Led!$Q$94,Led!F3,IF(ISBLANK($C$5),"",Led!F3))),"")</f>
        <v/>
      </c>
      <c r="D8" s="703" t="str">
        <f>Led!CS3</f>
        <v>1-04</v>
      </c>
      <c r="E8" s="704"/>
      <c r="F8" s="704"/>
      <c r="G8" s="704"/>
      <c r="H8" s="704"/>
      <c r="I8" s="704"/>
      <c r="J8" s="704"/>
      <c r="K8" s="704"/>
      <c r="L8" s="704"/>
      <c r="M8" s="704"/>
      <c r="N8" s="705" t="s">
        <v>679</v>
      </c>
      <c r="O8" s="706" t="s">
        <v>1176</v>
      </c>
    </row>
    <row r="9" spans="1:16" s="707" customFormat="1" ht="19.5" customHeight="1" x14ac:dyDescent="0.2">
      <c r="A9" s="701">
        <f>Led!D4</f>
        <v>3</v>
      </c>
      <c r="B9" s="702">
        <f>Led!E4</f>
        <v>1</v>
      </c>
      <c r="C9" s="703" t="str">
        <f>IF(ISNUMBER(A9),(IF(Led!F4=Led!$Q$94,Led!F4,IF(ISBLANK($C$5),"",Led!F4))),"")</f>
        <v/>
      </c>
      <c r="D9" s="703" t="str">
        <f>Led!CS4</f>
        <v>1-03</v>
      </c>
      <c r="E9" s="704"/>
      <c r="F9" s="704"/>
      <c r="G9" s="704"/>
      <c r="H9" s="708"/>
      <c r="I9" s="704"/>
      <c r="J9" s="704"/>
      <c r="K9" s="704"/>
      <c r="L9" s="704"/>
      <c r="M9" s="704"/>
      <c r="N9" s="705" t="s">
        <v>1177</v>
      </c>
      <c r="O9" s="706" t="s">
        <v>1178</v>
      </c>
    </row>
    <row r="10" spans="1:16" s="707" customFormat="1" ht="19.5" customHeight="1" x14ac:dyDescent="0.2">
      <c r="A10" s="701">
        <f>Led!D5</f>
        <v>4</v>
      </c>
      <c r="B10" s="702">
        <f>Led!E5</f>
        <v>1</v>
      </c>
      <c r="C10" s="703">
        <f>IF(ISNUMBER(A10),(IF(Led!F5=Led!$Q$94,Led!F5,IF(ISBLANK($C$5),"",Led!F5))),"")</f>
        <v>1</v>
      </c>
      <c r="D10" s="703" t="str">
        <f>Led!CS5</f>
        <v>1-01</v>
      </c>
      <c r="E10" s="704"/>
      <c r="F10" s="704"/>
      <c r="G10" s="704"/>
      <c r="H10" s="704"/>
      <c r="I10" s="704"/>
      <c r="J10" s="704"/>
      <c r="K10" s="704"/>
      <c r="L10" s="704"/>
      <c r="M10" s="704"/>
      <c r="N10" s="705" t="s">
        <v>675</v>
      </c>
      <c r="O10" s="706" t="s">
        <v>676</v>
      </c>
    </row>
    <row r="11" spans="1:16" s="707" customFormat="1" ht="19.5" customHeight="1" x14ac:dyDescent="0.2">
      <c r="A11" s="701">
        <f>Led!D6</f>
        <v>5</v>
      </c>
      <c r="B11" s="702">
        <f>Led!E6</f>
        <v>1</v>
      </c>
      <c r="C11" s="703" t="str">
        <f>IF(ISNUMBER(A11),(IF(Led!F6=Led!$Q$94,Led!F6,IF(ISBLANK($C$5),"",Led!F6))),"")</f>
        <v/>
      </c>
      <c r="D11" s="703" t="str">
        <f>Led!CS6</f>
        <v>1-03</v>
      </c>
      <c r="E11" s="704"/>
      <c r="F11" s="704"/>
      <c r="G11" s="704"/>
      <c r="H11" s="704"/>
      <c r="I11" s="704"/>
      <c r="J11" s="704"/>
      <c r="K11" s="704"/>
      <c r="L11" s="704"/>
      <c r="M11" s="704"/>
      <c r="N11" s="705" t="s">
        <v>665</v>
      </c>
      <c r="O11" s="706" t="s">
        <v>666</v>
      </c>
    </row>
    <row r="12" spans="1:16" s="707" customFormat="1" ht="19.5" customHeight="1" x14ac:dyDescent="0.2">
      <c r="A12" s="701">
        <f>Led!D7</f>
        <v>6</v>
      </c>
      <c r="B12" s="702">
        <f>Led!E7</f>
        <v>1</v>
      </c>
      <c r="C12" s="703" t="str">
        <f>IF(ISNUMBER(A12),(IF(Led!F7=Led!$Q$94,Led!F7,IF(ISBLANK($C$5),"",Led!F7))),"")</f>
        <v/>
      </c>
      <c r="D12" s="703" t="str">
        <f>Led!CS7</f>
        <v>1-05</v>
      </c>
      <c r="E12" s="704"/>
      <c r="F12" s="704"/>
      <c r="G12" s="704"/>
      <c r="H12" s="704"/>
      <c r="I12" s="704"/>
      <c r="J12" s="704"/>
      <c r="K12" s="704"/>
      <c r="L12" s="704"/>
      <c r="M12" s="704"/>
      <c r="N12" s="705" t="s">
        <v>663</v>
      </c>
      <c r="O12" s="706" t="s">
        <v>1179</v>
      </c>
    </row>
    <row r="13" spans="1:16" s="707" customFormat="1" ht="19.5" customHeight="1" x14ac:dyDescent="0.2">
      <c r="A13" s="701">
        <f>Led!D8</f>
        <v>7</v>
      </c>
      <c r="B13" s="702">
        <f>Led!E8</f>
        <v>1</v>
      </c>
      <c r="C13" s="703" t="str">
        <f>IF(ISNUMBER(A13),(IF(Led!F8=Led!$Q$94,Led!F8,IF(ISBLANK($C$5),"",Led!F8))),"")</f>
        <v/>
      </c>
      <c r="D13" s="703" t="str">
        <f>Led!CS8</f>
        <v>1-02</v>
      </c>
      <c r="E13" s="704"/>
      <c r="F13" s="704"/>
      <c r="G13" s="704"/>
      <c r="H13" s="704"/>
      <c r="I13" s="704"/>
      <c r="J13" s="704"/>
      <c r="K13" s="704"/>
      <c r="L13" s="704"/>
      <c r="M13" s="704"/>
      <c r="N13" s="705" t="s">
        <v>667</v>
      </c>
      <c r="O13" s="706" t="s">
        <v>668</v>
      </c>
    </row>
    <row r="14" spans="1:16" s="707" customFormat="1" ht="19.5" customHeight="1" x14ac:dyDescent="0.2">
      <c r="A14" s="701">
        <f>Led!D9</f>
        <v>8</v>
      </c>
      <c r="B14" s="702">
        <f>Led!E9</f>
        <v>2</v>
      </c>
      <c r="C14" s="703" t="str">
        <f>IF(ISNUMBER(A14),(IF(Led!F9=Led!$Q$94,Led!F9,IF(ISBLANK($C$5),"",Led!F9))),"")</f>
        <v/>
      </c>
      <c r="D14" s="703" t="str">
        <f>Led!CS9</f>
        <v>2-03</v>
      </c>
      <c r="E14" s="704"/>
      <c r="F14" s="704"/>
      <c r="G14" s="704"/>
      <c r="H14" s="704"/>
      <c r="I14" s="704"/>
      <c r="J14" s="704"/>
      <c r="K14" s="704"/>
      <c r="L14" s="704"/>
      <c r="M14" s="704"/>
      <c r="N14" s="705" t="s">
        <v>1180</v>
      </c>
      <c r="O14" s="706" t="s">
        <v>1181</v>
      </c>
    </row>
    <row r="15" spans="1:16" s="707" customFormat="1" ht="19.5" customHeight="1" x14ac:dyDescent="0.2">
      <c r="A15" s="701">
        <f>Led!D10</f>
        <v>9</v>
      </c>
      <c r="B15" s="702">
        <f>Led!E10</f>
        <v>2</v>
      </c>
      <c r="C15" s="703" t="str">
        <f>IF(ISNUMBER(A15),(IF(Led!F10=Led!$Q$94,Led!F10,IF(ISBLANK($C$5),"",Led!F10))),"")</f>
        <v/>
      </c>
      <c r="D15" s="703" t="str">
        <f>Led!CS10</f>
        <v>2-06</v>
      </c>
      <c r="E15" s="704"/>
      <c r="F15" s="704"/>
      <c r="G15" s="704"/>
      <c r="H15" s="704"/>
      <c r="I15" s="704"/>
      <c r="J15" s="704"/>
      <c r="K15" s="704"/>
      <c r="L15" s="704"/>
      <c r="M15" s="704"/>
      <c r="N15" s="705" t="s">
        <v>669</v>
      </c>
      <c r="O15" s="706" t="s">
        <v>1182</v>
      </c>
    </row>
    <row r="16" spans="1:16" s="707" customFormat="1" ht="19.5" customHeight="1" x14ac:dyDescent="0.2">
      <c r="A16" s="701">
        <f>Led!D11</f>
        <v>10</v>
      </c>
      <c r="B16" s="702">
        <f>Led!E11</f>
        <v>2</v>
      </c>
      <c r="C16" s="703" t="str">
        <f>IF(ISNUMBER(A16),(IF(Led!F11=Led!$Q$94,Led!F11,IF(ISBLANK($C$5),"",Led!F11))),"")</f>
        <v/>
      </c>
      <c r="D16" s="703" t="str">
        <f>Led!CS11</f>
        <v>2-02</v>
      </c>
      <c r="E16" s="704"/>
      <c r="F16" s="704"/>
      <c r="G16" s="704"/>
      <c r="H16" s="704"/>
      <c r="I16" s="704"/>
      <c r="J16" s="704"/>
      <c r="K16" s="704"/>
      <c r="L16" s="704"/>
      <c r="M16" s="704"/>
      <c r="N16" s="705" t="s">
        <v>677</v>
      </c>
      <c r="O16" s="706" t="s">
        <v>1183</v>
      </c>
    </row>
    <row r="17" spans="1:15" s="707" customFormat="1" ht="19.5" customHeight="1" x14ac:dyDescent="0.2">
      <c r="A17" s="701">
        <f>Led!D12</f>
        <v>11</v>
      </c>
      <c r="B17" s="702">
        <f>Led!E12</f>
        <v>2</v>
      </c>
      <c r="C17" s="703" t="str">
        <f>IF(ISNUMBER(A17),(IF(Led!F12=Led!$Q$94,Led!F12,IF(ISBLANK($C$5),"",Led!F12))),"")</f>
        <v/>
      </c>
      <c r="D17" s="703" t="str">
        <f>Led!CS12</f>
        <v>2-07</v>
      </c>
      <c r="E17" s="704"/>
      <c r="F17" s="704"/>
      <c r="G17" s="704"/>
      <c r="H17" s="704"/>
      <c r="I17" s="704"/>
      <c r="J17" s="704"/>
      <c r="K17" s="704"/>
      <c r="L17" s="704"/>
      <c r="M17" s="704"/>
      <c r="N17" s="705" t="s">
        <v>681</v>
      </c>
      <c r="O17" s="706" t="s">
        <v>1184</v>
      </c>
    </row>
    <row r="18" spans="1:15" s="707" customFormat="1" ht="19.5" customHeight="1" x14ac:dyDescent="0.2">
      <c r="A18" s="701">
        <f>Led!D13</f>
        <v>12</v>
      </c>
      <c r="B18" s="702">
        <f>Led!E13</f>
        <v>2</v>
      </c>
      <c r="C18" s="703" t="str">
        <f>IF(ISNUMBER(A18),(IF(Led!F13=Led!$Q$94,Led!F13,IF(ISBLANK($C$5),"",Led!F13))),"")</f>
        <v/>
      </c>
      <c r="D18" s="703" t="str">
        <f>Led!CS13</f>
        <v>2-04</v>
      </c>
      <c r="E18" s="704"/>
      <c r="F18" s="704"/>
      <c r="G18" s="704"/>
      <c r="H18" s="704"/>
      <c r="I18" s="704"/>
      <c r="J18" s="704"/>
      <c r="K18" s="704"/>
      <c r="L18" s="704"/>
      <c r="M18" s="704"/>
      <c r="N18" s="705" t="s">
        <v>671</v>
      </c>
      <c r="O18" s="706" t="s">
        <v>672</v>
      </c>
    </row>
    <row r="19" spans="1:15" s="707" customFormat="1" ht="19.5" customHeight="1" x14ac:dyDescent="0.2">
      <c r="A19" s="701">
        <f>Led!D14</f>
        <v>13</v>
      </c>
      <c r="B19" s="702">
        <f>Led!E14</f>
        <v>2</v>
      </c>
      <c r="C19" s="703">
        <f>IF(ISNUMBER(A19),(IF(Led!F14=Led!$Q$94,Led!F14,IF(ISBLANK($C$5),"",Led!F14))),"")</f>
        <v>1</v>
      </c>
      <c r="D19" s="703" t="str">
        <f>Led!CS14</f>
        <v>2-01</v>
      </c>
      <c r="E19" s="704"/>
      <c r="F19" s="704"/>
      <c r="G19" s="704"/>
      <c r="H19" s="704"/>
      <c r="I19" s="704"/>
      <c r="J19" s="704"/>
      <c r="K19" s="704"/>
      <c r="L19" s="704"/>
      <c r="M19" s="704"/>
      <c r="N19" s="709" t="s">
        <v>1185</v>
      </c>
      <c r="O19" s="710" t="s">
        <v>1186</v>
      </c>
    </row>
    <row r="20" spans="1:15" s="707" customFormat="1" ht="19.5" customHeight="1" x14ac:dyDescent="0.2">
      <c r="A20" s="701">
        <f>Led!D15</f>
        <v>14</v>
      </c>
      <c r="B20" s="702">
        <f>Led!E15</f>
        <v>2</v>
      </c>
      <c r="C20" s="703" t="str">
        <f>IF(ISNUMBER(A20),(IF(Led!F15=Led!$Q$94,Led!F15,IF(ISBLANK($C$5),"",Led!F15))),"")</f>
        <v/>
      </c>
      <c r="D20" s="703" t="str">
        <f>Led!CS15</f>
        <v>2-05</v>
      </c>
      <c r="E20" s="704"/>
      <c r="F20" s="704"/>
      <c r="G20" s="704"/>
      <c r="H20" s="704"/>
      <c r="I20" s="704"/>
      <c r="J20" s="704"/>
      <c r="K20" s="704"/>
      <c r="L20" s="704"/>
      <c r="M20" s="704"/>
      <c r="N20" s="705" t="s">
        <v>694</v>
      </c>
      <c r="O20" s="706" t="s">
        <v>695</v>
      </c>
    </row>
    <row r="21" spans="1:15" s="707" customFormat="1" ht="19.5" customHeight="1" x14ac:dyDescent="0.2">
      <c r="A21" s="701">
        <f>Led!D16</f>
        <v>15</v>
      </c>
      <c r="B21" s="702">
        <f>Led!E16</f>
        <v>3</v>
      </c>
      <c r="C21" s="703">
        <f>IF(ISNUMBER(A21),(IF(Led!F16=Led!$Q$94,Led!F16,IF(ISBLANK($C$5),"",Led!F16))),"")</f>
        <v>1</v>
      </c>
      <c r="D21" s="703" t="str">
        <f>Led!CS16</f>
        <v>3-01</v>
      </c>
      <c r="E21" s="704"/>
      <c r="F21" s="704"/>
      <c r="G21" s="704"/>
      <c r="H21" s="704"/>
      <c r="I21" s="704"/>
      <c r="J21" s="704"/>
      <c r="K21" s="704"/>
      <c r="L21" s="704"/>
      <c r="M21" s="704"/>
      <c r="N21" s="705" t="s">
        <v>696</v>
      </c>
      <c r="O21" s="706" t="s">
        <v>697</v>
      </c>
    </row>
    <row r="22" spans="1:15" s="707" customFormat="1" ht="19.5" customHeight="1" x14ac:dyDescent="0.2">
      <c r="A22" s="701">
        <f>Led!D17</f>
        <v>16</v>
      </c>
      <c r="B22" s="702">
        <f>Led!E17</f>
        <v>3</v>
      </c>
      <c r="C22" s="703" t="str">
        <f>IF(ISNUMBER(A22),(IF(Led!F17=Led!$Q$94,Led!F17,IF(ISBLANK($C$5),"",Led!F17))),"")</f>
        <v/>
      </c>
      <c r="D22" s="703" t="str">
        <f>Led!CS17</f>
        <v>3-02</v>
      </c>
      <c r="E22" s="704"/>
      <c r="F22" s="704"/>
      <c r="G22" s="704"/>
      <c r="H22" s="704"/>
      <c r="I22" s="704"/>
      <c r="J22" s="704"/>
      <c r="K22" s="704"/>
      <c r="L22" s="704"/>
      <c r="M22" s="704"/>
      <c r="N22" s="705" t="s">
        <v>698</v>
      </c>
      <c r="O22" s="706" t="s">
        <v>699</v>
      </c>
    </row>
    <row r="23" spans="1:15" s="707" customFormat="1" ht="19.5" customHeight="1" x14ac:dyDescent="0.2">
      <c r="A23" s="701">
        <f>Led!D18</f>
        <v>17</v>
      </c>
      <c r="B23" s="702">
        <f>Led!E18</f>
        <v>3</v>
      </c>
      <c r="C23" s="703" t="str">
        <f>IF(ISNUMBER(A23),(IF(Led!F18=Led!$Q$94,Led!F18,IF(ISBLANK($C$5),"",Led!F18))),"")</f>
        <v/>
      </c>
      <c r="D23" s="703" t="str">
        <f>Led!CS18</f>
        <v>3-06</v>
      </c>
      <c r="E23" s="704"/>
      <c r="F23" s="704"/>
      <c r="G23" s="704"/>
      <c r="H23" s="704"/>
      <c r="I23" s="704"/>
      <c r="J23" s="704"/>
      <c r="K23" s="704"/>
      <c r="L23" s="704"/>
      <c r="M23" s="704"/>
      <c r="N23" s="705" t="s">
        <v>700</v>
      </c>
      <c r="O23" s="706" t="s">
        <v>701</v>
      </c>
    </row>
    <row r="24" spans="1:15" s="707" customFormat="1" ht="19.5" customHeight="1" x14ac:dyDescent="0.2">
      <c r="A24" s="701">
        <f>Led!D19</f>
        <v>18</v>
      </c>
      <c r="B24" s="702">
        <f>Led!E19</f>
        <v>3</v>
      </c>
      <c r="C24" s="703" t="str">
        <f>IF(ISNUMBER(A24),(IF(Led!F19=Led!$Q$94,Led!F19,IF(ISBLANK($C$5),"",Led!F19))),"")</f>
        <v/>
      </c>
      <c r="D24" s="703" t="str">
        <f>Led!CS19</f>
        <v>3-05</v>
      </c>
      <c r="E24" s="704"/>
      <c r="F24" s="704"/>
      <c r="G24" s="704"/>
      <c r="H24" s="704"/>
      <c r="I24" s="704"/>
      <c r="J24" s="704"/>
      <c r="K24" s="704"/>
      <c r="L24" s="704"/>
      <c r="M24" s="704"/>
      <c r="N24" s="705" t="s">
        <v>702</v>
      </c>
      <c r="O24" s="706" t="s">
        <v>703</v>
      </c>
    </row>
    <row r="25" spans="1:15" s="707" customFormat="1" ht="19.5" customHeight="1" x14ac:dyDescent="0.2">
      <c r="A25" s="701">
        <f>Led!D20</f>
        <v>19</v>
      </c>
      <c r="B25" s="702">
        <f>Led!E20</f>
        <v>3</v>
      </c>
      <c r="C25" s="703" t="str">
        <f>IF(ISNUMBER(A25),(IF(Led!F20=Led!$Q$94,Led!F20,IF(ISBLANK($C$5),"",Led!F20))),"")</f>
        <v/>
      </c>
      <c r="D25" s="703" t="str">
        <f>Led!CS20</f>
        <v>3-06</v>
      </c>
      <c r="E25" s="704"/>
      <c r="F25" s="704"/>
      <c r="G25" s="704"/>
      <c r="H25" s="704"/>
      <c r="I25" s="704"/>
      <c r="J25" s="704"/>
      <c r="K25" s="704"/>
      <c r="L25" s="704"/>
      <c r="M25" s="704"/>
      <c r="N25" s="705" t="s">
        <v>704</v>
      </c>
      <c r="O25" s="706" t="s">
        <v>705</v>
      </c>
    </row>
    <row r="26" spans="1:15" s="707" customFormat="1" ht="19.5" customHeight="1" x14ac:dyDescent="0.2">
      <c r="A26" s="701">
        <f>Led!D21</f>
        <v>20</v>
      </c>
      <c r="B26" s="702">
        <f>Led!E21</f>
        <v>3</v>
      </c>
      <c r="C26" s="703" t="str">
        <f>IF(ISNUMBER(A26),(IF(Led!F21=Led!$Q$94,Led!F21,IF(ISBLANK($C$5),"",Led!F21))),"")</f>
        <v/>
      </c>
      <c r="D26" s="703" t="str">
        <f>Led!CS21</f>
        <v>3-07</v>
      </c>
      <c r="E26" s="704"/>
      <c r="F26" s="704"/>
      <c r="G26" s="704"/>
      <c r="H26" s="704"/>
      <c r="I26" s="704"/>
      <c r="J26" s="704"/>
      <c r="K26" s="704"/>
      <c r="L26" s="704"/>
      <c r="M26" s="704"/>
      <c r="N26" s="705" t="s">
        <v>706</v>
      </c>
      <c r="O26" s="706" t="s">
        <v>707</v>
      </c>
    </row>
    <row r="27" spans="1:15" s="707" customFormat="1" ht="19.5" customHeight="1" x14ac:dyDescent="0.2">
      <c r="A27" s="701">
        <f>Led!D22</f>
        <v>21</v>
      </c>
      <c r="B27" s="702">
        <f>Led!E22</f>
        <v>3</v>
      </c>
      <c r="C27" s="703" t="str">
        <f>IF(ISNUMBER(A27),(IF(Led!F22=Led!$Q$94,Led!F22,IF(ISBLANK($C$5),"",Led!F22))),"")</f>
        <v/>
      </c>
      <c r="D27" s="703" t="str">
        <f>Led!CS22</f>
        <v>3-04</v>
      </c>
      <c r="E27" s="704"/>
      <c r="F27" s="704"/>
      <c r="G27" s="704"/>
      <c r="H27" s="704"/>
      <c r="I27" s="704"/>
      <c r="J27" s="704"/>
      <c r="K27" s="704"/>
      <c r="L27" s="704"/>
      <c r="M27" s="704"/>
      <c r="N27" s="705" t="s">
        <v>708</v>
      </c>
      <c r="O27" s="706" t="s">
        <v>709</v>
      </c>
    </row>
    <row r="28" spans="1:15" s="707" customFormat="1" ht="19.5" customHeight="1" x14ac:dyDescent="0.2">
      <c r="A28" s="701">
        <f>Led!D23</f>
        <v>22</v>
      </c>
      <c r="B28" s="702">
        <f>Led!E23</f>
        <v>4</v>
      </c>
      <c r="C28" s="703" t="str">
        <f>IF(ISNUMBER(A28),(IF(Led!F23=Led!$Q$94,Led!F23,IF(ISBLANK($C$5),"",Led!F23))),"")</f>
        <v/>
      </c>
      <c r="D28" s="703" t="str">
        <f>Led!CS23</f>
        <v>4-05</v>
      </c>
      <c r="E28" s="704"/>
      <c r="F28" s="704"/>
      <c r="G28" s="704"/>
      <c r="H28" s="704"/>
      <c r="I28" s="704"/>
      <c r="J28" s="704"/>
      <c r="K28" s="704"/>
      <c r="L28" s="704"/>
      <c r="M28" s="704"/>
      <c r="N28" s="705" t="s">
        <v>710</v>
      </c>
      <c r="O28" s="706" t="s">
        <v>711</v>
      </c>
    </row>
    <row r="29" spans="1:15" s="707" customFormat="1" ht="19.5" customHeight="1" x14ac:dyDescent="0.2">
      <c r="A29" s="701">
        <f>Led!D24</f>
        <v>23</v>
      </c>
      <c r="B29" s="702">
        <f>Led!E24</f>
        <v>4</v>
      </c>
      <c r="C29" s="703" t="str">
        <f>IF(ISNUMBER(A29),(IF(Led!F24=Led!$Q$94,Led!F24,IF(ISBLANK($C$5),"",Led!F24))),"")</f>
        <v/>
      </c>
      <c r="D29" s="703" t="str">
        <f>Led!CS24</f>
        <v>4-07</v>
      </c>
      <c r="E29" s="704"/>
      <c r="F29" s="704"/>
      <c r="G29" s="704"/>
      <c r="H29" s="704"/>
      <c r="I29" s="704"/>
      <c r="J29" s="704"/>
      <c r="K29" s="704"/>
      <c r="L29" s="704"/>
      <c r="M29" s="704"/>
      <c r="N29" s="705" t="s">
        <v>712</v>
      </c>
      <c r="O29" s="706" t="s">
        <v>713</v>
      </c>
    </row>
    <row r="30" spans="1:15" s="707" customFormat="1" ht="19.5" customHeight="1" x14ac:dyDescent="0.2">
      <c r="A30" s="701">
        <f>Led!D25</f>
        <v>24</v>
      </c>
      <c r="B30" s="702">
        <f>Led!E25</f>
        <v>4</v>
      </c>
      <c r="C30" s="703">
        <f>IF(ISNUMBER(A30),(IF(Led!F25=Led!$Q$94,Led!F25,IF(ISBLANK($C$5),"",Led!F25))),"")</f>
        <v>1</v>
      </c>
      <c r="D30" s="703" t="str">
        <f>Led!CS25</f>
        <v>4-01</v>
      </c>
      <c r="E30" s="704"/>
      <c r="F30" s="704"/>
      <c r="G30" s="704"/>
      <c r="H30" s="704"/>
      <c r="I30" s="704"/>
      <c r="J30" s="704"/>
      <c r="K30" s="704"/>
      <c r="L30" s="704"/>
      <c r="M30" s="704"/>
      <c r="N30" s="705" t="s">
        <v>716</v>
      </c>
      <c r="O30" s="706" t="s">
        <v>717</v>
      </c>
    </row>
    <row r="31" spans="1:15" s="707" customFormat="1" ht="19.5" customHeight="1" x14ac:dyDescent="0.2">
      <c r="A31" s="701">
        <f>Led!D26</f>
        <v>25</v>
      </c>
      <c r="B31" s="702">
        <f>Led!E26</f>
        <v>4</v>
      </c>
      <c r="C31" s="703" t="str">
        <f>IF(ISNUMBER(A31),(IF(Led!F26=Led!$Q$94,Led!F26,IF(ISBLANK($C$5),"",Led!F26))),"")</f>
        <v/>
      </c>
      <c r="D31" s="703" t="str">
        <f>Led!CS26</f>
        <v>4-04</v>
      </c>
      <c r="E31" s="704"/>
      <c r="F31" s="704"/>
      <c r="G31" s="704"/>
      <c r="H31" s="704"/>
      <c r="I31" s="704"/>
      <c r="J31" s="704"/>
      <c r="K31" s="704"/>
      <c r="L31" s="704"/>
      <c r="M31" s="704"/>
      <c r="N31" s="705" t="s">
        <v>718</v>
      </c>
      <c r="O31" s="706" t="s">
        <v>719</v>
      </c>
    </row>
    <row r="32" spans="1:15" s="707" customFormat="1" ht="19.5" customHeight="1" x14ac:dyDescent="0.2">
      <c r="A32" s="701">
        <f>Led!D27</f>
        <v>26</v>
      </c>
      <c r="B32" s="702">
        <f>Led!E27</f>
        <v>4</v>
      </c>
      <c r="C32" s="703" t="str">
        <f>IF(ISNUMBER(A32),(IF(Led!F27=Led!$Q$94,Led!F27,IF(ISBLANK($C$5),"",Led!F27))),"")</f>
        <v/>
      </c>
      <c r="D32" s="703" t="str">
        <f>Led!CS27</f>
        <v>4-02</v>
      </c>
      <c r="E32" s="704"/>
      <c r="F32" s="704"/>
      <c r="G32" s="704"/>
      <c r="H32" s="704"/>
      <c r="I32" s="704"/>
      <c r="J32" s="704"/>
      <c r="K32" s="704"/>
      <c r="L32" s="704"/>
      <c r="M32" s="704"/>
      <c r="N32" s="705" t="s">
        <v>720</v>
      </c>
      <c r="O32" s="706" t="s">
        <v>721</v>
      </c>
    </row>
    <row r="33" spans="1:15" s="707" customFormat="1" ht="19.5" customHeight="1" x14ac:dyDescent="0.2">
      <c r="A33" s="701">
        <f>Led!D28</f>
        <v>27</v>
      </c>
      <c r="B33" s="702">
        <f>Led!E28</f>
        <v>4</v>
      </c>
      <c r="C33" s="703" t="str">
        <f>IF(ISNUMBER(A33),(IF(Led!F28=Led!$Q$94,Led!F28,IF(ISBLANK($C$5),"",Led!F28))),"")</f>
        <v/>
      </c>
      <c r="D33" s="703" t="str">
        <f>Led!CS28</f>
        <v>4-06</v>
      </c>
      <c r="E33" s="704"/>
      <c r="F33" s="704"/>
      <c r="G33" s="704"/>
      <c r="H33" s="704"/>
      <c r="I33" s="704"/>
      <c r="J33" s="704"/>
      <c r="K33" s="704"/>
      <c r="L33" s="704"/>
      <c r="M33" s="704"/>
      <c r="N33" s="711" t="s">
        <v>722</v>
      </c>
      <c r="O33" s="706" t="s">
        <v>723</v>
      </c>
    </row>
    <row r="34" spans="1:15" s="707" customFormat="1" ht="19.5" customHeight="1" x14ac:dyDescent="0.2">
      <c r="A34" s="701">
        <f>Led!D29</f>
        <v>28</v>
      </c>
      <c r="B34" s="702">
        <f>Led!E29</f>
        <v>4</v>
      </c>
      <c r="C34" s="703" t="str">
        <f>IF(ISNUMBER(A34),(IF(Led!F29=Led!$Q$94,Led!F29,IF(ISBLANK($C$5),"",Led!F29))),"")</f>
        <v/>
      </c>
      <c r="D34" s="703" t="str">
        <f>Led!CS29</f>
        <v>4-03</v>
      </c>
      <c r="E34" s="704"/>
      <c r="F34" s="704"/>
      <c r="G34" s="704"/>
      <c r="H34" s="704"/>
      <c r="I34" s="704"/>
      <c r="J34" s="704"/>
      <c r="K34" s="704"/>
      <c r="L34" s="704"/>
      <c r="M34" s="704"/>
      <c r="N34" s="711" t="s">
        <v>724</v>
      </c>
      <c r="O34" s="706" t="s">
        <v>725</v>
      </c>
    </row>
    <row r="35" spans="1:15" s="707" customFormat="1" ht="19.5" customHeight="1" x14ac:dyDescent="0.2">
      <c r="A35" s="701" t="str">
        <f>Led!D30</f>
        <v/>
      </c>
      <c r="B35" s="702" t="str">
        <f>Led!E30</f>
        <v/>
      </c>
      <c r="C35" s="703" t="str">
        <f>IF(ISNUMBER(A35),(IF(Led!F30=Led!$Q$94,Led!F30,IF(ISBLANK($C$5),"",Led!F30))),"")</f>
        <v/>
      </c>
      <c r="D35" s="703" t="str">
        <f>Led!CS30</f>
        <v/>
      </c>
      <c r="E35" s="704"/>
      <c r="F35" s="704"/>
      <c r="G35" s="704"/>
      <c r="H35" s="704"/>
      <c r="I35" s="704"/>
      <c r="J35" s="704"/>
      <c r="K35" s="704"/>
      <c r="L35" s="704"/>
      <c r="M35" s="704"/>
      <c r="N35" s="709" t="s">
        <v>726</v>
      </c>
      <c r="O35" s="710" t="s">
        <v>727</v>
      </c>
    </row>
    <row r="36" spans="1:15" s="707" customFormat="1" ht="19.5" customHeight="1" x14ac:dyDescent="0.2">
      <c r="A36" s="701" t="str">
        <f>Led!D31</f>
        <v/>
      </c>
      <c r="B36" s="702" t="str">
        <f>Led!E31</f>
        <v/>
      </c>
      <c r="C36" s="703" t="str">
        <f>IF(ISNUMBER(A36),(IF(Led!F31=Led!$Q$94,Led!F31,IF(ISBLANK($C$5),"",Led!F31))),"")</f>
        <v/>
      </c>
      <c r="D36" s="703" t="str">
        <f>Led!CS31</f>
        <v/>
      </c>
      <c r="E36" s="704"/>
      <c r="F36" s="704"/>
      <c r="G36" s="704"/>
      <c r="H36" s="704"/>
      <c r="I36" s="704"/>
      <c r="J36" s="704"/>
      <c r="K36" s="704"/>
      <c r="L36" s="704"/>
      <c r="M36" s="704"/>
      <c r="N36" s="709" t="s">
        <v>714</v>
      </c>
      <c r="O36" s="710" t="s">
        <v>715</v>
      </c>
    </row>
    <row r="37" spans="1:15" s="707" customFormat="1" ht="19.5" customHeight="1" x14ac:dyDescent="0.2">
      <c r="A37" s="701" t="str">
        <f>Led!D32</f>
        <v/>
      </c>
      <c r="B37" s="702" t="str">
        <f>Led!E32</f>
        <v/>
      </c>
      <c r="C37" s="703" t="str">
        <f>IF(ISNUMBER(A37),(IF(Led!F32=Led!$Q$94,Led!F32,IF(ISBLANK($C$5),"",Led!F32))),"")</f>
        <v/>
      </c>
      <c r="D37" s="703" t="str">
        <f>Led!CS32</f>
        <v/>
      </c>
      <c r="E37" s="704"/>
      <c r="F37" s="704"/>
      <c r="G37" s="704"/>
      <c r="H37" s="704"/>
      <c r="I37" s="704"/>
      <c r="J37" s="704"/>
      <c r="K37" s="704"/>
      <c r="L37" s="704"/>
      <c r="M37" s="704"/>
      <c r="N37" s="712" t="s">
        <v>1187</v>
      </c>
      <c r="O37" s="713" t="s">
        <v>1188</v>
      </c>
    </row>
    <row r="38" spans="1:15" s="707" customFormat="1" ht="19.5" customHeight="1" x14ac:dyDescent="0.2">
      <c r="A38" s="701" t="str">
        <f>Led!D33</f>
        <v/>
      </c>
      <c r="B38" s="702" t="str">
        <f>Led!E33</f>
        <v/>
      </c>
      <c r="C38" s="703" t="str">
        <f>IF(ISNUMBER(A38),(IF(Led!F33=Led!$Q$94,Led!F33,IF(ISBLANK($C$5),"",Led!F33))),"")</f>
        <v/>
      </c>
      <c r="D38" s="703" t="str">
        <f>Led!CS33</f>
        <v/>
      </c>
      <c r="E38" s="704"/>
      <c r="F38" s="704"/>
      <c r="G38" s="704"/>
      <c r="H38" s="704"/>
      <c r="I38" s="704"/>
      <c r="J38" s="704"/>
      <c r="K38" s="704"/>
      <c r="L38" s="704"/>
      <c r="M38" s="704"/>
      <c r="N38" s="711" t="s">
        <v>1189</v>
      </c>
      <c r="O38" s="706" t="s">
        <v>1190</v>
      </c>
    </row>
    <row r="39" spans="1:15" s="707" customFormat="1" ht="19.5" customHeight="1" x14ac:dyDescent="0.2">
      <c r="A39" s="701" t="str">
        <f>Led!D34</f>
        <v/>
      </c>
      <c r="B39" s="702" t="str">
        <f>Led!E34</f>
        <v/>
      </c>
      <c r="C39" s="703" t="str">
        <f>IF(ISNUMBER(A39),(IF(Led!F34=Led!$Q$94,Led!F34,IF(ISBLANK($C$5),"",Led!F34))),"")</f>
        <v/>
      </c>
      <c r="D39" s="703" t="str">
        <f>Led!CS34</f>
        <v/>
      </c>
      <c r="E39" s="704"/>
      <c r="F39" s="704"/>
      <c r="G39" s="704"/>
      <c r="H39" s="704"/>
      <c r="I39" s="704"/>
      <c r="J39" s="704"/>
      <c r="K39" s="704"/>
      <c r="L39" s="704"/>
      <c r="M39" s="704"/>
      <c r="N39" s="711" t="s">
        <v>1192</v>
      </c>
      <c r="O39" s="706" t="s">
        <v>1191</v>
      </c>
    </row>
    <row r="40" spans="1:15" s="707" customFormat="1" ht="19.5" customHeight="1" x14ac:dyDescent="0.2">
      <c r="A40" s="701" t="str">
        <f>Led!D35</f>
        <v/>
      </c>
      <c r="B40" s="702" t="str">
        <f>Led!E35</f>
        <v/>
      </c>
      <c r="C40" s="703" t="str">
        <f>IF(ISNUMBER(A40),(IF(Led!F35=Led!$Q$94,Led!F35,IF(ISBLANK($C$5),"",Led!F35))),"")</f>
        <v/>
      </c>
      <c r="D40" s="703" t="str">
        <f>Led!CS35</f>
        <v/>
      </c>
      <c r="E40" s="704"/>
      <c r="F40" s="704"/>
      <c r="G40" s="704"/>
      <c r="H40" s="704"/>
      <c r="I40" s="704"/>
      <c r="J40" s="704"/>
      <c r="K40" s="704"/>
      <c r="L40" s="704"/>
      <c r="M40" s="704"/>
      <c r="N40" s="711" t="s">
        <v>1194</v>
      </c>
      <c r="O40" s="706" t="s">
        <v>1193</v>
      </c>
    </row>
    <row r="41" spans="1:15" s="707" customFormat="1" ht="19.5" customHeight="1" x14ac:dyDescent="0.2">
      <c r="A41" s="701" t="str">
        <f>Led!D36</f>
        <v/>
      </c>
      <c r="B41" s="702" t="str">
        <f>Led!E36</f>
        <v/>
      </c>
      <c r="C41" s="703" t="str">
        <f>IF(ISNUMBER(A41),(IF(Led!F36=Led!$Q$94,Led!F36,IF(ISBLANK($C$5),"",Led!F36))),"")</f>
        <v/>
      </c>
      <c r="D41" s="703" t="str">
        <f>Led!CS36</f>
        <v/>
      </c>
      <c r="E41" s="704"/>
      <c r="F41" s="704"/>
      <c r="G41" s="704"/>
      <c r="H41" s="704"/>
      <c r="I41" s="704"/>
      <c r="J41" s="704"/>
      <c r="K41" s="704"/>
      <c r="L41" s="704"/>
      <c r="M41" s="704"/>
      <c r="N41" s="711" t="s">
        <v>772</v>
      </c>
      <c r="O41" s="706" t="s">
        <v>1195</v>
      </c>
    </row>
    <row r="42" spans="1:15" s="707" customFormat="1" ht="19.5" customHeight="1" x14ac:dyDescent="0.2">
      <c r="A42" s="701" t="str">
        <f>Led!D37</f>
        <v/>
      </c>
      <c r="B42" s="702" t="str">
        <f>Led!E37</f>
        <v/>
      </c>
      <c r="C42" s="703" t="str">
        <f>IF(ISNUMBER(A42),(IF(Led!F37=Led!$Q$94,Led!F37,IF(ISBLANK($C$5),"",Led!F37))),"")</f>
        <v/>
      </c>
      <c r="D42" s="703" t="str">
        <f>Led!CS37</f>
        <v/>
      </c>
      <c r="E42" s="704"/>
      <c r="F42" s="704"/>
      <c r="G42" s="704"/>
      <c r="H42" s="704"/>
      <c r="I42" s="704"/>
      <c r="J42" s="704"/>
      <c r="K42" s="704"/>
      <c r="L42" s="704"/>
      <c r="M42" s="704"/>
      <c r="N42" s="709" t="s">
        <v>1197</v>
      </c>
      <c r="O42" s="710" t="s">
        <v>1196</v>
      </c>
    </row>
    <row r="43" spans="1:15" s="707" customFormat="1" ht="19.5" customHeight="1" x14ac:dyDescent="0.2">
      <c r="A43" s="701" t="str">
        <f>Led!D38</f>
        <v/>
      </c>
      <c r="B43" s="702" t="str">
        <f>Led!E38</f>
        <v/>
      </c>
      <c r="C43" s="703" t="str">
        <f>IF(ISNUMBER(A43),(IF(Led!F38=Led!$Q$94,Led!F38,IF(ISBLANK($C$5),"",Led!F38))),"")</f>
        <v/>
      </c>
      <c r="D43" s="703" t="str">
        <f>Led!CS38</f>
        <v/>
      </c>
      <c r="E43" s="704"/>
      <c r="F43" s="704"/>
      <c r="G43" s="704"/>
      <c r="H43" s="704"/>
      <c r="I43" s="704"/>
      <c r="J43" s="704"/>
      <c r="K43" s="704"/>
      <c r="L43" s="704"/>
      <c r="M43" s="704"/>
      <c r="N43" s="714" t="s">
        <v>11</v>
      </c>
      <c r="O43" s="715"/>
    </row>
    <row r="44" spans="1:15" s="707" customFormat="1" ht="19.5" customHeight="1" x14ac:dyDescent="0.2">
      <c r="A44" s="701" t="str">
        <f>Led!D39</f>
        <v/>
      </c>
      <c r="B44" s="702" t="str">
        <f>Led!E39</f>
        <v/>
      </c>
      <c r="C44" s="703" t="str">
        <f>IF(ISNUMBER(A44),(IF(Led!F39=Led!$Q$94,Led!F39,IF(ISBLANK($C$5),"",Led!F39))),"")</f>
        <v/>
      </c>
      <c r="D44" s="703" t="str">
        <f>Led!CS39</f>
        <v/>
      </c>
      <c r="E44" s="704"/>
      <c r="F44" s="704"/>
      <c r="G44" s="704"/>
      <c r="H44" s="704"/>
      <c r="I44" s="704"/>
      <c r="J44" s="704"/>
      <c r="K44" s="704"/>
      <c r="L44" s="704"/>
      <c r="M44" s="704"/>
      <c r="N44" s="716" t="s">
        <v>482</v>
      </c>
      <c r="O44" s="717" t="s">
        <v>947</v>
      </c>
    </row>
    <row r="45" spans="1:15" s="707" customFormat="1" ht="19.5" customHeight="1" x14ac:dyDescent="0.2">
      <c r="A45" s="701" t="str">
        <f>Led!D40</f>
        <v/>
      </c>
      <c r="B45" s="702" t="str">
        <f>Led!E40</f>
        <v/>
      </c>
      <c r="C45" s="703" t="str">
        <f>IF(ISNUMBER(A45),(IF(Led!F40=Led!$Q$94,Led!F40,IF(ISBLANK($C$5),"",Led!F40))),"")</f>
        <v/>
      </c>
      <c r="D45" s="703" t="str">
        <f>Led!CS40</f>
        <v/>
      </c>
      <c r="E45" s="704"/>
      <c r="F45" s="704"/>
      <c r="G45" s="704"/>
      <c r="H45" s="704"/>
      <c r="I45" s="704"/>
      <c r="J45" s="704"/>
      <c r="K45" s="704"/>
      <c r="L45" s="704"/>
      <c r="M45" s="704"/>
      <c r="N45" s="718">
        <v>10</v>
      </c>
      <c r="O45" s="719" t="s">
        <v>812</v>
      </c>
    </row>
    <row r="46" spans="1:15" s="707" customFormat="1" ht="19.5" customHeight="1" x14ac:dyDescent="0.2">
      <c r="A46" s="701" t="str">
        <f>Led!D41</f>
        <v/>
      </c>
      <c r="B46" s="702" t="str">
        <f>Led!E41</f>
        <v/>
      </c>
      <c r="C46" s="703" t="str">
        <f>IF(ISNUMBER(A46),(IF(Led!F41=Led!$Q$94,Led!F41,IF(ISBLANK($C$5),"",Led!F41))),"")</f>
        <v/>
      </c>
      <c r="D46" s="703" t="str">
        <f>Led!CS41</f>
        <v/>
      </c>
      <c r="E46" s="704"/>
      <c r="F46" s="704"/>
      <c r="G46" s="704"/>
      <c r="H46" s="704"/>
      <c r="I46" s="704"/>
      <c r="J46" s="704"/>
      <c r="K46" s="704"/>
      <c r="L46" s="704"/>
      <c r="M46" s="704"/>
      <c r="N46" s="718" t="s">
        <v>813</v>
      </c>
      <c r="O46" s="719" t="s">
        <v>940</v>
      </c>
    </row>
    <row r="47" spans="1:15" s="707" customFormat="1" ht="19.5" customHeight="1" x14ac:dyDescent="0.2">
      <c r="A47" s="701" t="str">
        <f>Led!D42</f>
        <v/>
      </c>
      <c r="B47" s="702" t="str">
        <f>Led!E42</f>
        <v/>
      </c>
      <c r="C47" s="703" t="str">
        <f>IF(ISNUMBER(A47),(IF(Led!F42=Led!$Q$94,Led!F42,IF(ISBLANK($C$5),"",Led!F42))),"")</f>
        <v/>
      </c>
      <c r="D47" s="703" t="str">
        <f>Led!CS42</f>
        <v/>
      </c>
      <c r="E47" s="704"/>
      <c r="F47" s="704"/>
      <c r="G47" s="704"/>
      <c r="H47" s="704"/>
      <c r="I47" s="704"/>
      <c r="J47" s="704"/>
      <c r="K47" s="704"/>
      <c r="L47" s="704"/>
      <c r="M47" s="704"/>
      <c r="N47" s="718" t="s">
        <v>815</v>
      </c>
      <c r="O47" s="719" t="s">
        <v>816</v>
      </c>
    </row>
    <row r="48" spans="1:15" s="707" customFormat="1" ht="19.5" customHeight="1" x14ac:dyDescent="0.2">
      <c r="A48" s="701" t="str">
        <f>Led!D43</f>
        <v/>
      </c>
      <c r="B48" s="702" t="str">
        <f>Led!E43</f>
        <v/>
      </c>
      <c r="C48" s="703" t="str">
        <f>IF(ISNUMBER(A48),(IF(Led!F43=Led!$Q$94,Led!F43,IF(ISBLANK($C$5),"",Led!F43))),"")</f>
        <v/>
      </c>
      <c r="D48" s="703" t="str">
        <f>Led!CS43</f>
        <v/>
      </c>
      <c r="E48" s="704"/>
      <c r="F48" s="704"/>
      <c r="G48" s="704"/>
      <c r="H48" s="704"/>
      <c r="I48" s="704"/>
      <c r="J48" s="704"/>
      <c r="K48" s="704"/>
      <c r="L48" s="704"/>
      <c r="M48" s="704"/>
      <c r="N48" s="718">
        <v>30</v>
      </c>
      <c r="O48" s="719" t="s">
        <v>941</v>
      </c>
    </row>
    <row r="49" spans="1:15" s="707" customFormat="1" ht="19.5" customHeight="1" x14ac:dyDescent="0.2">
      <c r="A49" s="701" t="str">
        <f>Led!D44</f>
        <v/>
      </c>
      <c r="B49" s="702" t="str">
        <f>Led!E44</f>
        <v/>
      </c>
      <c r="C49" s="703" t="str">
        <f>IF(ISNUMBER(A49),(IF(Led!F44=Led!$Q$94,Led!F44,IF(ISBLANK($C$5),"",Led!F44))),"")</f>
        <v/>
      </c>
      <c r="D49" s="703" t="str">
        <f>Led!CS44</f>
        <v/>
      </c>
      <c r="E49" s="704"/>
      <c r="F49" s="704"/>
      <c r="G49" s="704"/>
      <c r="H49" s="708"/>
      <c r="I49" s="704"/>
      <c r="J49" s="704"/>
      <c r="K49" s="704"/>
      <c r="L49" s="704"/>
      <c r="M49" s="704"/>
      <c r="N49" s="718" t="s">
        <v>818</v>
      </c>
      <c r="O49" s="719" t="s">
        <v>942</v>
      </c>
    </row>
    <row r="50" spans="1:15" s="707" customFormat="1" ht="19.5" customHeight="1" x14ac:dyDescent="0.2">
      <c r="A50" s="701" t="str">
        <f>Led!D45</f>
        <v/>
      </c>
      <c r="B50" s="702" t="str">
        <f>Led!E45</f>
        <v/>
      </c>
      <c r="C50" s="703" t="str">
        <f>IF(ISNUMBER(A50),(IF(Led!F45=Led!$Q$94,Led!F45,IF(ISBLANK($C$5),"",Led!F45))),"")</f>
        <v/>
      </c>
      <c r="D50" s="703" t="str">
        <f>Led!CS45</f>
        <v/>
      </c>
      <c r="E50" s="704"/>
      <c r="F50" s="704"/>
      <c r="G50" s="704"/>
      <c r="H50" s="704"/>
      <c r="I50" s="704"/>
      <c r="J50" s="704"/>
      <c r="K50" s="704"/>
      <c r="L50" s="704"/>
      <c r="M50" s="704"/>
      <c r="N50" s="718" t="s">
        <v>820</v>
      </c>
      <c r="O50" s="719" t="s">
        <v>943</v>
      </c>
    </row>
    <row r="51" spans="1:15" s="707" customFormat="1" ht="19.5" customHeight="1" x14ac:dyDescent="0.2">
      <c r="A51" s="701" t="str">
        <f>Led!D46</f>
        <v/>
      </c>
      <c r="B51" s="702" t="str">
        <f>Led!E46</f>
        <v/>
      </c>
      <c r="C51" s="703" t="str">
        <f>IF(ISNUMBER(A51),(IF(Led!F46=Led!$Q$94,Led!F46,IF(ISBLANK($C$5),"",Led!F46))),"")</f>
        <v/>
      </c>
      <c r="D51" s="703" t="str">
        <f>Led!CS46</f>
        <v/>
      </c>
      <c r="E51" s="704"/>
      <c r="F51" s="704"/>
      <c r="G51" s="704"/>
      <c r="H51" s="704"/>
      <c r="I51" s="704"/>
      <c r="J51" s="704"/>
      <c r="K51" s="704"/>
      <c r="L51" s="704"/>
      <c r="M51" s="704"/>
      <c r="N51" s="718" t="s">
        <v>821</v>
      </c>
      <c r="O51" s="719" t="s">
        <v>822</v>
      </c>
    </row>
    <row r="52" spans="1:15" s="707" customFormat="1" ht="19.5" customHeight="1" x14ac:dyDescent="0.2">
      <c r="A52" s="701" t="str">
        <f>Led!D47</f>
        <v/>
      </c>
      <c r="B52" s="702" t="str">
        <f>Led!E47</f>
        <v/>
      </c>
      <c r="C52" s="703" t="str">
        <f>IF(ISNUMBER(A52),(IF(Led!F47=Led!$Q$94,Led!F47,IF(ISBLANK($C$5),"",Led!F47))),"")</f>
        <v/>
      </c>
      <c r="D52" s="703" t="str">
        <f>Led!CS47</f>
        <v/>
      </c>
      <c r="E52" s="704"/>
      <c r="F52" s="704"/>
      <c r="G52" s="704"/>
      <c r="H52" s="704"/>
      <c r="I52" s="704"/>
      <c r="J52" s="704"/>
      <c r="K52" s="704"/>
      <c r="L52" s="704"/>
      <c r="M52" s="704"/>
      <c r="N52" s="718" t="s">
        <v>823</v>
      </c>
      <c r="O52" s="720" t="s">
        <v>944</v>
      </c>
    </row>
    <row r="53" spans="1:15" s="707" customFormat="1" ht="19.5" customHeight="1" x14ac:dyDescent="0.2">
      <c r="A53" s="701" t="str">
        <f>Led!D48</f>
        <v/>
      </c>
      <c r="B53" s="702" t="str">
        <f>Led!E48</f>
        <v/>
      </c>
      <c r="C53" s="703" t="str">
        <f>IF(ISNUMBER(A53),(IF(Led!F48=Led!$Q$94,Led!F48,IF(ISBLANK($C$5),"",Led!F48))),"")</f>
        <v/>
      </c>
      <c r="D53" s="703" t="str">
        <f>Led!CS48</f>
        <v/>
      </c>
      <c r="E53" s="704"/>
      <c r="F53" s="704"/>
      <c r="G53" s="704"/>
      <c r="H53" s="704"/>
      <c r="I53" s="704"/>
      <c r="J53" s="704"/>
      <c r="K53" s="704"/>
      <c r="L53" s="704"/>
      <c r="M53" s="704"/>
      <c r="N53" s="718" t="s">
        <v>825</v>
      </c>
      <c r="O53" s="719" t="s">
        <v>946</v>
      </c>
    </row>
    <row r="54" spans="1:15" s="707" customFormat="1" ht="19.5" customHeight="1" x14ac:dyDescent="0.2">
      <c r="A54" s="701" t="str">
        <f>Led!D49</f>
        <v/>
      </c>
      <c r="B54" s="702" t="str">
        <f>Led!E49</f>
        <v/>
      </c>
      <c r="C54" s="703" t="str">
        <f>IF(ISNUMBER(A54),(IF(Led!F49=Led!$Q$94,Led!F49,IF(ISBLANK($C$5),"",Led!F49))),"")</f>
        <v/>
      </c>
      <c r="D54" s="703" t="str">
        <f>Led!CS49</f>
        <v/>
      </c>
      <c r="E54" s="704"/>
      <c r="F54" s="704"/>
      <c r="G54" s="704"/>
      <c r="H54" s="704"/>
      <c r="I54" s="704"/>
      <c r="J54" s="704"/>
      <c r="K54" s="704"/>
      <c r="L54" s="704"/>
      <c r="M54" s="704"/>
      <c r="N54" s="718" t="s">
        <v>827</v>
      </c>
      <c r="O54" s="719" t="s">
        <v>945</v>
      </c>
    </row>
    <row r="55" spans="1:15" s="707" customFormat="1" ht="19.5" customHeight="1" x14ac:dyDescent="0.2">
      <c r="A55" s="701" t="str">
        <f>Led!D50</f>
        <v/>
      </c>
      <c r="B55" s="702" t="str">
        <f>Led!E50</f>
        <v/>
      </c>
      <c r="C55" s="703" t="str">
        <f>IF(ISNUMBER(A55),(IF(Led!F50=Led!$Q$94,Led!F50,IF(ISBLANK($C$5),"",Led!F50))),"")</f>
        <v/>
      </c>
      <c r="D55" s="703" t="str">
        <f>Led!CS50</f>
        <v/>
      </c>
      <c r="E55" s="704"/>
      <c r="F55" s="704"/>
      <c r="G55" s="704"/>
      <c r="H55" s="704"/>
      <c r="I55" s="704"/>
      <c r="J55" s="704"/>
      <c r="K55" s="704"/>
      <c r="L55" s="704"/>
      <c r="M55" s="704"/>
      <c r="N55" s="718" t="s">
        <v>829</v>
      </c>
      <c r="O55" s="719" t="s">
        <v>830</v>
      </c>
    </row>
    <row r="56" spans="1:15" s="707" customFormat="1" ht="19.5" customHeight="1" x14ac:dyDescent="0.2">
      <c r="A56" s="701" t="str">
        <f>Led!D51</f>
        <v/>
      </c>
      <c r="B56" s="702" t="str">
        <f>Led!E51</f>
        <v/>
      </c>
      <c r="C56" s="703" t="str">
        <f>IF(ISNUMBER(A56),(IF(Led!F51=Led!$Q$94,Led!F51,IF(ISBLANK($C$5),"",Led!F51))),"")</f>
        <v/>
      </c>
      <c r="D56" s="703" t="str">
        <f>Led!CS51</f>
        <v/>
      </c>
      <c r="E56" s="704"/>
      <c r="F56" s="704"/>
      <c r="G56" s="704"/>
      <c r="H56" s="704"/>
      <c r="I56" s="704"/>
      <c r="J56" s="704"/>
      <c r="K56" s="704"/>
      <c r="L56" s="704"/>
      <c r="M56" s="704"/>
      <c r="N56" s="721" t="s">
        <v>831</v>
      </c>
      <c r="O56" s="722" t="s">
        <v>502</v>
      </c>
    </row>
    <row r="57" spans="1:15" s="707" customFormat="1" ht="19.5" customHeight="1" x14ac:dyDescent="0.2">
      <c r="A57" s="701" t="str">
        <f>Led!D52</f>
        <v/>
      </c>
      <c r="B57" s="702" t="str">
        <f>Led!E52</f>
        <v/>
      </c>
      <c r="C57" s="703" t="str">
        <f>IF(ISNUMBER(A57),(IF(Led!F52=Led!$Q$94,Led!F52,IF(ISBLANK($C$5),"",Led!F52))),"")</f>
        <v/>
      </c>
      <c r="D57" s="703" t="str">
        <f>Led!CS52</f>
        <v/>
      </c>
      <c r="E57" s="704"/>
      <c r="F57" s="704"/>
      <c r="G57" s="704"/>
      <c r="H57" s="704"/>
      <c r="I57" s="704"/>
      <c r="J57" s="704"/>
      <c r="K57" s="704"/>
      <c r="L57" s="704"/>
      <c r="M57" s="704"/>
      <c r="N57" s="723"/>
      <c r="O57" s="724"/>
    </row>
    <row r="58" spans="1:15" s="707" customFormat="1" ht="19.5" customHeight="1" x14ac:dyDescent="0.2">
      <c r="A58" s="701" t="str">
        <f>Led!D53</f>
        <v/>
      </c>
      <c r="B58" s="702" t="str">
        <f>Led!E53</f>
        <v/>
      </c>
      <c r="C58" s="703" t="str">
        <f>IF(ISNUMBER(A58),(IF(Led!F53=Led!$Q$94,Led!F53,IF(ISBLANK($C$5),"",Led!F53))),"")</f>
        <v/>
      </c>
      <c r="D58" s="703" t="str">
        <f>Led!CS53</f>
        <v/>
      </c>
      <c r="E58" s="704"/>
      <c r="F58" s="704"/>
      <c r="G58" s="704"/>
      <c r="H58" s="704"/>
      <c r="I58" s="704"/>
      <c r="J58" s="704"/>
      <c r="K58" s="704"/>
      <c r="L58" s="704"/>
      <c r="M58" s="704"/>
      <c r="N58" s="723"/>
      <c r="O58" s="724"/>
    </row>
    <row r="59" spans="1:15" s="707" customFormat="1" ht="19.5" customHeight="1" x14ac:dyDescent="0.2">
      <c r="A59" s="701" t="str">
        <f>Led!D54</f>
        <v/>
      </c>
      <c r="B59" s="702" t="str">
        <f>Led!E54</f>
        <v/>
      </c>
      <c r="C59" s="703" t="str">
        <f>IF(ISNUMBER(A59),(IF(Led!F54=Led!$Q$94,Led!F54,IF(ISBLANK($C$5),"",Led!F54))),"")</f>
        <v/>
      </c>
      <c r="D59" s="703" t="str">
        <f>Led!CS54</f>
        <v/>
      </c>
      <c r="E59" s="704"/>
      <c r="F59" s="704"/>
      <c r="G59" s="704"/>
      <c r="H59" s="704"/>
      <c r="I59" s="704"/>
      <c r="J59" s="704"/>
      <c r="K59" s="704"/>
      <c r="L59" s="704"/>
      <c r="M59" s="704"/>
      <c r="N59" s="723" t="s">
        <v>773</v>
      </c>
      <c r="O59" s="724" t="s">
        <v>774</v>
      </c>
    </row>
    <row r="60" spans="1:15" s="707" customFormat="1" ht="19.5" customHeight="1" x14ac:dyDescent="0.2">
      <c r="A60" s="701" t="str">
        <f>Led!D55</f>
        <v/>
      </c>
      <c r="B60" s="702" t="str">
        <f>Led!E55</f>
        <v/>
      </c>
      <c r="C60" s="703" t="str">
        <f>IF(ISNUMBER(A60),(IF(Led!F55=Led!$Q$94,Led!F55,IF(ISBLANK($C$5),"",Led!F55))),"")</f>
        <v/>
      </c>
      <c r="D60" s="703" t="str">
        <f>Led!CS55</f>
        <v/>
      </c>
      <c r="E60" s="704"/>
      <c r="F60" s="704"/>
      <c r="G60" s="704"/>
      <c r="H60" s="704"/>
      <c r="I60" s="704"/>
      <c r="J60" s="704"/>
      <c r="K60" s="704"/>
      <c r="L60" s="704"/>
      <c r="M60" s="704"/>
      <c r="N60" s="723" t="s">
        <v>778</v>
      </c>
      <c r="O60" s="724" t="s">
        <v>779</v>
      </c>
    </row>
    <row r="61" spans="1:15" s="707" customFormat="1" ht="19.5" customHeight="1" x14ac:dyDescent="0.2">
      <c r="A61" s="701" t="str">
        <f>Led!D56</f>
        <v/>
      </c>
      <c r="B61" s="702" t="str">
        <f>Led!E56</f>
        <v/>
      </c>
      <c r="C61" s="703" t="str">
        <f>IF(ISNUMBER(A61),(IF(Led!F56=Led!$Q$94,Led!F56,IF(ISBLANK($C$5),"",Led!F56))),"")</f>
        <v/>
      </c>
      <c r="D61" s="703" t="str">
        <f>Led!CS56</f>
        <v/>
      </c>
      <c r="E61" s="704"/>
      <c r="F61" s="704"/>
      <c r="G61" s="704"/>
      <c r="H61" s="704"/>
      <c r="I61" s="704"/>
      <c r="J61" s="704"/>
      <c r="K61" s="704"/>
      <c r="L61" s="704"/>
      <c r="M61" s="704"/>
      <c r="N61" s="723" t="s">
        <v>775</v>
      </c>
      <c r="O61" s="724" t="s">
        <v>776</v>
      </c>
    </row>
    <row r="62" spans="1:15" s="707" customFormat="1" ht="19.5" customHeight="1" x14ac:dyDescent="0.2">
      <c r="A62" s="701" t="str">
        <f>Led!D57</f>
        <v/>
      </c>
      <c r="B62" s="702" t="str">
        <f>Led!E57</f>
        <v/>
      </c>
      <c r="C62" s="703" t="str">
        <f>IF(ISNUMBER(A62),(IF(Led!F57=Led!$Q$94,Led!F57,IF(ISBLANK($C$5),"",Led!F57))),"")</f>
        <v/>
      </c>
      <c r="D62" s="703" t="str">
        <f>Led!CS57</f>
        <v/>
      </c>
      <c r="E62" s="704"/>
      <c r="F62" s="704"/>
      <c r="G62" s="704"/>
      <c r="H62" s="704"/>
      <c r="I62" s="704"/>
      <c r="J62" s="704"/>
      <c r="K62" s="704"/>
      <c r="L62" s="704"/>
      <c r="M62" s="704"/>
      <c r="N62" s="723" t="s">
        <v>780</v>
      </c>
      <c r="O62" s="724" t="s">
        <v>781</v>
      </c>
    </row>
    <row r="63" spans="1:15" s="707" customFormat="1" ht="19.5" customHeight="1" x14ac:dyDescent="0.2">
      <c r="A63" s="701" t="str">
        <f>Led!D58</f>
        <v/>
      </c>
      <c r="B63" s="702" t="str">
        <f>Led!E58</f>
        <v/>
      </c>
      <c r="C63" s="703" t="str">
        <f>IF(ISNUMBER(A63),(IF(Led!F58=Led!$Q$94,Led!F58,IF(ISBLANK($C$5),"",Led!F58))),"")</f>
        <v/>
      </c>
      <c r="D63" s="703" t="str">
        <f>Led!CS58</f>
        <v/>
      </c>
      <c r="E63" s="704"/>
      <c r="F63" s="704"/>
      <c r="G63" s="704"/>
      <c r="H63" s="704"/>
      <c r="I63" s="704"/>
      <c r="J63" s="704"/>
      <c r="K63" s="704"/>
      <c r="L63" s="704"/>
      <c r="M63" s="704"/>
      <c r="N63" s="725" t="s">
        <v>771</v>
      </c>
      <c r="O63" s="724" t="s">
        <v>782</v>
      </c>
    </row>
    <row r="64" spans="1:15" s="707" customFormat="1" ht="19.5" customHeight="1" x14ac:dyDescent="0.2">
      <c r="A64" s="701" t="str">
        <f>Led!D59</f>
        <v/>
      </c>
      <c r="B64" s="702" t="str">
        <f>Led!E59</f>
        <v/>
      </c>
      <c r="C64" s="703" t="str">
        <f>IF(ISNUMBER(A64),(IF(Led!F59=Led!$Q$94,Led!F59,IF(ISBLANK($C$5),"",Led!F59))),"")</f>
        <v/>
      </c>
      <c r="D64" s="703" t="str">
        <f>Led!CS59</f>
        <v/>
      </c>
      <c r="E64" s="704"/>
      <c r="F64" s="704"/>
      <c r="G64" s="704"/>
      <c r="H64" s="704"/>
      <c r="I64" s="704"/>
      <c r="J64" s="704"/>
      <c r="K64" s="704"/>
      <c r="L64" s="704"/>
      <c r="M64" s="704"/>
      <c r="N64" s="723" t="s">
        <v>739</v>
      </c>
      <c r="O64" s="724" t="s">
        <v>777</v>
      </c>
    </row>
    <row r="65" spans="1:15" s="707" customFormat="1" ht="19.5" customHeight="1" x14ac:dyDescent="0.2">
      <c r="A65" s="701" t="str">
        <f>Led!D60</f>
        <v/>
      </c>
      <c r="B65" s="702" t="str">
        <f>Led!E60</f>
        <v/>
      </c>
      <c r="C65" s="703" t="str">
        <f>IF(ISNUMBER(A65),(IF(Led!F60=Led!$Q$94,Led!F60,IF(ISBLANK($C$5),"",Led!F60))),"")</f>
        <v/>
      </c>
      <c r="D65" s="703" t="str">
        <f>Led!CS60</f>
        <v/>
      </c>
      <c r="E65" s="704"/>
      <c r="F65" s="704"/>
      <c r="G65" s="704"/>
      <c r="H65" s="704"/>
      <c r="I65" s="704"/>
      <c r="J65" s="704"/>
      <c r="K65" s="704"/>
      <c r="L65" s="704"/>
      <c r="M65" s="704"/>
      <c r="N65" s="723" t="s">
        <v>783</v>
      </c>
      <c r="O65" s="724" t="s">
        <v>785</v>
      </c>
    </row>
    <row r="66" spans="1:15" s="707" customFormat="1" ht="19.5" customHeight="1" x14ac:dyDescent="0.2">
      <c r="A66" s="701" t="str">
        <f>Led!D61</f>
        <v/>
      </c>
      <c r="B66" s="702" t="str">
        <f>Led!E61</f>
        <v/>
      </c>
      <c r="C66" s="703" t="str">
        <f>IF(ISNUMBER(A66),(IF(Led!F61=Led!$Q$94,Led!F61,IF(ISBLANK($C$5),"",Led!F61))),"")</f>
        <v/>
      </c>
      <c r="D66" s="703" t="str">
        <f>Led!CS61</f>
        <v/>
      </c>
      <c r="E66" s="704"/>
      <c r="F66" s="704"/>
      <c r="G66" s="704"/>
      <c r="H66" s="704"/>
      <c r="I66" s="704"/>
      <c r="J66" s="704"/>
      <c r="K66" s="704"/>
      <c r="L66" s="704"/>
      <c r="M66" s="704"/>
      <c r="N66" s="723" t="s">
        <v>784</v>
      </c>
      <c r="O66" s="724" t="s">
        <v>786</v>
      </c>
    </row>
    <row r="67" spans="1:15" s="707" customFormat="1" ht="19.5" customHeight="1" x14ac:dyDescent="0.2">
      <c r="A67" s="701" t="str">
        <f>Led!D62</f>
        <v/>
      </c>
      <c r="B67" s="702" t="str">
        <f>Led!E62</f>
        <v/>
      </c>
      <c r="C67" s="703" t="str">
        <f>IF(ISNUMBER(A67),(IF(Led!F62=Led!$Q$94,Led!F62,IF(ISBLANK($C$5),"",Led!F62))),"")</f>
        <v/>
      </c>
      <c r="D67" s="703" t="str">
        <f>Led!CS62</f>
        <v/>
      </c>
      <c r="E67" s="704"/>
      <c r="F67" s="704"/>
      <c r="G67" s="704"/>
      <c r="H67" s="704"/>
      <c r="I67" s="704"/>
      <c r="J67" s="704"/>
      <c r="K67" s="704"/>
      <c r="L67" s="704"/>
      <c r="M67" s="704"/>
      <c r="N67" s="723" t="s">
        <v>1198</v>
      </c>
      <c r="O67" s="724" t="s">
        <v>1204</v>
      </c>
    </row>
    <row r="68" spans="1:15" s="707" customFormat="1" ht="19.5" customHeight="1" x14ac:dyDescent="0.2">
      <c r="A68" s="701" t="str">
        <f>Led!D63</f>
        <v/>
      </c>
      <c r="B68" s="702" t="str">
        <f>Led!E63</f>
        <v/>
      </c>
      <c r="C68" s="703" t="str">
        <f>IF(ISNUMBER(A68),(IF(Led!F63=Led!$Q$94,Led!F63,IF(ISBLANK($C$5),"",Led!F63))),"")</f>
        <v/>
      </c>
      <c r="D68" s="703" t="str">
        <f>Led!CS63</f>
        <v/>
      </c>
      <c r="E68" s="704"/>
      <c r="F68" s="704"/>
      <c r="G68" s="704"/>
      <c r="H68" s="704"/>
      <c r="I68" s="704"/>
      <c r="J68" s="704"/>
      <c r="K68" s="704"/>
      <c r="L68" s="704"/>
      <c r="M68" s="704"/>
      <c r="N68" s="723" t="s">
        <v>1199</v>
      </c>
      <c r="O68" s="726"/>
    </row>
    <row r="69" spans="1:15" s="707" customFormat="1" ht="19.5" customHeight="1" x14ac:dyDescent="0.2">
      <c r="A69" s="701" t="str">
        <f>Led!D64</f>
        <v/>
      </c>
      <c r="B69" s="702" t="str">
        <f>Led!E64</f>
        <v/>
      </c>
      <c r="C69" s="703" t="str">
        <f>IF(ISNUMBER(A69),(IF(Led!F64=Led!$Q$94,Led!F64,IF(ISBLANK($C$5),"",Led!F64))),"")</f>
        <v/>
      </c>
      <c r="D69" s="703" t="str">
        <f>Led!CS64</f>
        <v/>
      </c>
      <c r="E69" s="704"/>
      <c r="F69" s="704"/>
      <c r="G69" s="704"/>
      <c r="H69" s="704"/>
      <c r="I69" s="704"/>
      <c r="J69" s="704"/>
      <c r="K69" s="704"/>
      <c r="L69" s="704"/>
      <c r="M69" s="704"/>
      <c r="N69" s="723" t="s">
        <v>1200</v>
      </c>
      <c r="O69" s="726"/>
    </row>
    <row r="70" spans="1:15" s="707" customFormat="1" ht="19.5" customHeight="1" x14ac:dyDescent="0.2">
      <c r="A70" s="701" t="str">
        <f>Led!D65</f>
        <v/>
      </c>
      <c r="B70" s="702" t="str">
        <f>Led!E65</f>
        <v/>
      </c>
      <c r="C70" s="703" t="str">
        <f>IF(ISNUMBER(A70),(IF(Led!F65=Led!$Q$94,Led!F65,IF(ISBLANK($C$5),"",Led!F65))),"")</f>
        <v/>
      </c>
      <c r="D70" s="703" t="str">
        <f>Led!CS65</f>
        <v/>
      </c>
      <c r="E70" s="704"/>
      <c r="F70" s="704"/>
      <c r="G70" s="704"/>
      <c r="H70" s="704"/>
      <c r="I70" s="704"/>
      <c r="J70" s="704"/>
      <c r="K70" s="704"/>
      <c r="L70" s="704"/>
      <c r="M70" s="704"/>
      <c r="N70" s="723" t="s">
        <v>1201</v>
      </c>
      <c r="O70" s="726"/>
    </row>
    <row r="71" spans="1:15" ht="19.5" customHeight="1" x14ac:dyDescent="0.2">
      <c r="A71" s="701" t="str">
        <f>Led!D66</f>
        <v/>
      </c>
      <c r="B71" s="702" t="str">
        <f>Led!E66</f>
        <v/>
      </c>
      <c r="C71" s="703" t="str">
        <f>IF(ISNUMBER(A71),(IF(Led!F66=Led!$Q$94,Led!F66,IF(ISBLANK($C$5),"",Led!F66))),"")</f>
        <v/>
      </c>
      <c r="D71" s="703" t="str">
        <f>Led!CS66</f>
        <v/>
      </c>
      <c r="E71" s="704"/>
      <c r="F71" s="704"/>
      <c r="G71" s="704"/>
      <c r="H71" s="704"/>
      <c r="I71" s="704"/>
      <c r="J71" s="704"/>
      <c r="K71" s="704"/>
      <c r="L71" s="704"/>
      <c r="M71" s="704"/>
      <c r="N71" s="723" t="s">
        <v>1202</v>
      </c>
      <c r="O71" s="726"/>
    </row>
    <row r="72" spans="1:15" ht="19.5" customHeight="1" x14ac:dyDescent="0.2">
      <c r="A72" s="701" t="str">
        <f>Led!D67</f>
        <v/>
      </c>
      <c r="B72" s="702" t="str">
        <f>Led!E67</f>
        <v/>
      </c>
      <c r="C72" s="703" t="str">
        <f>IF(ISNUMBER(A72),(IF(Led!F67=Led!$Q$94,Led!F67,IF(ISBLANK($C$5),"",Led!F67))),"")</f>
        <v/>
      </c>
      <c r="D72" s="703" t="str">
        <f>Led!CS67</f>
        <v/>
      </c>
      <c r="E72" s="704"/>
      <c r="F72" s="704"/>
      <c r="G72" s="704"/>
      <c r="H72" s="704"/>
      <c r="I72" s="704"/>
      <c r="J72" s="704"/>
      <c r="K72" s="704"/>
      <c r="L72" s="704"/>
      <c r="M72" s="704"/>
      <c r="N72" s="723" t="s">
        <v>1203</v>
      </c>
      <c r="O72" s="726"/>
    </row>
    <row r="73" spans="1:15" ht="19.5" customHeight="1" x14ac:dyDescent="0.2">
      <c r="A73" s="701" t="str">
        <f>Led!D68</f>
        <v/>
      </c>
      <c r="B73" s="702" t="str">
        <f>Led!E68</f>
        <v/>
      </c>
      <c r="C73" s="703" t="str">
        <f>IF(ISNUMBER(A73),(IF(Led!F68=Led!$Q$94,Led!F68,IF(ISBLANK($C$5),"",Led!F68))),"")</f>
        <v/>
      </c>
      <c r="D73" s="703" t="str">
        <f>Led!CS68</f>
        <v/>
      </c>
      <c r="E73" s="704"/>
      <c r="F73" s="704"/>
      <c r="G73" s="704"/>
      <c r="H73" s="704"/>
      <c r="I73" s="704"/>
      <c r="J73" s="704"/>
      <c r="K73" s="704"/>
      <c r="L73" s="704"/>
      <c r="M73" s="704"/>
      <c r="N73" s="726"/>
      <c r="O73" s="726"/>
    </row>
    <row r="74" spans="1:15" ht="19.5" customHeight="1" x14ac:dyDescent="0.2">
      <c r="A74" s="701" t="str">
        <f>Led!D69</f>
        <v/>
      </c>
      <c r="B74" s="702" t="str">
        <f>Led!E69</f>
        <v/>
      </c>
      <c r="C74" s="703" t="str">
        <f>IF(ISNUMBER(A74),(IF(Led!F69=Led!$Q$94,Led!F69,IF(ISBLANK($C$5),"",Led!F69))),"")</f>
        <v/>
      </c>
      <c r="D74" s="703" t="str">
        <f>Led!CS69</f>
        <v/>
      </c>
      <c r="E74" s="704"/>
      <c r="F74" s="704"/>
      <c r="G74" s="704"/>
      <c r="H74" s="704"/>
      <c r="I74" s="704"/>
      <c r="J74" s="704"/>
      <c r="K74" s="704"/>
      <c r="L74" s="704"/>
      <c r="M74" s="704"/>
      <c r="N74" s="726"/>
      <c r="O74" s="726"/>
    </row>
    <row r="75" spans="1:15" x14ac:dyDescent="0.2">
      <c r="N75" s="727"/>
      <c r="O75" s="727"/>
    </row>
    <row r="76" spans="1:15" x14ac:dyDescent="0.2">
      <c r="N76" s="727"/>
      <c r="O76" s="727"/>
    </row>
    <row r="77" spans="1:15" x14ac:dyDescent="0.2">
      <c r="N77" s="727"/>
      <c r="O77" s="727"/>
    </row>
    <row r="78" spans="1:15" x14ac:dyDescent="0.2">
      <c r="N78" s="727"/>
      <c r="O78" s="727"/>
    </row>
    <row r="79" spans="1:15" x14ac:dyDescent="0.2">
      <c r="N79" s="727"/>
      <c r="O79" s="727"/>
    </row>
    <row r="80" spans="1:15" x14ac:dyDescent="0.2">
      <c r="N80" s="727"/>
      <c r="O80" s="727"/>
    </row>
    <row r="81" spans="14:15" x14ac:dyDescent="0.2">
      <c r="N81" s="727"/>
      <c r="O81" s="727"/>
    </row>
    <row r="82" spans="14:15" x14ac:dyDescent="0.2">
      <c r="N82" s="727"/>
      <c r="O82" s="727"/>
    </row>
    <row r="83" spans="14:15" x14ac:dyDescent="0.2">
      <c r="N83" s="727"/>
      <c r="O83" s="727"/>
    </row>
    <row r="84" spans="14:15" x14ac:dyDescent="0.2">
      <c r="N84" s="727"/>
      <c r="O84" s="727"/>
    </row>
    <row r="85" spans="14:15" x14ac:dyDescent="0.2">
      <c r="N85" s="727"/>
      <c r="O85" s="727"/>
    </row>
    <row r="86" spans="14:15" x14ac:dyDescent="0.2">
      <c r="N86" s="727"/>
      <c r="O86" s="727"/>
    </row>
    <row r="87" spans="14:15" x14ac:dyDescent="0.2">
      <c r="N87" s="727"/>
      <c r="O87" s="727"/>
    </row>
    <row r="88" spans="14:15" x14ac:dyDescent="0.2">
      <c r="N88" s="727"/>
      <c r="O88" s="727"/>
    </row>
    <row r="89" spans="14:15" x14ac:dyDescent="0.2">
      <c r="N89" s="727"/>
      <c r="O89" s="727"/>
    </row>
    <row r="90" spans="14:15" x14ac:dyDescent="0.2">
      <c r="N90" s="727"/>
      <c r="O90" s="727"/>
    </row>
    <row r="91" spans="14:15" x14ac:dyDescent="0.2">
      <c r="N91" s="727"/>
      <c r="O91" s="727"/>
    </row>
    <row r="92" spans="14:15" x14ac:dyDescent="0.2">
      <c r="N92" s="727"/>
      <c r="O92" s="727"/>
    </row>
    <row r="93" spans="14:15" x14ac:dyDescent="0.2">
      <c r="N93" s="727"/>
      <c r="O93" s="727"/>
    </row>
    <row r="94" spans="14:15" x14ac:dyDescent="0.2">
      <c r="N94" s="727"/>
      <c r="O94" s="727"/>
    </row>
    <row r="95" spans="14:15" x14ac:dyDescent="0.2">
      <c r="N95" s="727"/>
      <c r="O95" s="727"/>
    </row>
    <row r="96" spans="14:15" x14ac:dyDescent="0.2">
      <c r="N96" s="727"/>
      <c r="O96" s="727"/>
    </row>
    <row r="97" spans="14:15" x14ac:dyDescent="0.2">
      <c r="N97" s="727"/>
      <c r="O97" s="727"/>
    </row>
    <row r="98" spans="14:15" x14ac:dyDescent="0.2">
      <c r="N98" s="727"/>
      <c r="O98" s="727"/>
    </row>
    <row r="99" spans="14:15" x14ac:dyDescent="0.2">
      <c r="N99" s="727"/>
      <c r="O99" s="727"/>
    </row>
    <row r="100" spans="14:15" x14ac:dyDescent="0.2">
      <c r="N100" s="727"/>
      <c r="O100" s="727"/>
    </row>
    <row r="101" spans="14:15" x14ac:dyDescent="0.2">
      <c r="N101" s="727"/>
      <c r="O101" s="727"/>
    </row>
    <row r="102" spans="14:15" x14ac:dyDescent="0.2">
      <c r="N102" s="727"/>
      <c r="O102" s="727"/>
    </row>
    <row r="103" spans="14:15" x14ac:dyDescent="0.2">
      <c r="N103" s="727"/>
      <c r="O103" s="727"/>
    </row>
    <row r="104" spans="14:15" x14ac:dyDescent="0.2">
      <c r="N104" s="727"/>
      <c r="O104" s="727"/>
    </row>
    <row r="105" spans="14:15" x14ac:dyDescent="0.2">
      <c r="N105" s="727"/>
      <c r="O105" s="727"/>
    </row>
    <row r="106" spans="14:15" x14ac:dyDescent="0.2">
      <c r="N106" s="727"/>
      <c r="O106" s="727"/>
    </row>
    <row r="107" spans="14:15" x14ac:dyDescent="0.2">
      <c r="N107" s="727"/>
      <c r="O107" s="727"/>
    </row>
    <row r="108" spans="14:15" x14ac:dyDescent="0.2">
      <c r="N108" s="727"/>
      <c r="O108" s="727"/>
    </row>
    <row r="109" spans="14:15" x14ac:dyDescent="0.2">
      <c r="N109" s="727"/>
      <c r="O109" s="727"/>
    </row>
    <row r="110" spans="14:15" x14ac:dyDescent="0.2">
      <c r="N110" s="727"/>
      <c r="O110" s="727"/>
    </row>
    <row r="111" spans="14:15" x14ac:dyDescent="0.2">
      <c r="N111" s="727"/>
      <c r="O111" s="727"/>
    </row>
    <row r="112" spans="14:15" x14ac:dyDescent="0.2">
      <c r="N112" s="727"/>
      <c r="O112" s="727"/>
    </row>
    <row r="113" spans="14:15" x14ac:dyDescent="0.2">
      <c r="N113" s="727"/>
      <c r="O113" s="727"/>
    </row>
    <row r="114" spans="14:15" x14ac:dyDescent="0.2">
      <c r="N114" s="727"/>
      <c r="O114" s="727"/>
    </row>
    <row r="115" spans="14:15" x14ac:dyDescent="0.2">
      <c r="N115" s="727"/>
      <c r="O115" s="727"/>
    </row>
    <row r="116" spans="14:15" x14ac:dyDescent="0.2">
      <c r="N116" s="727"/>
      <c r="O116" s="727"/>
    </row>
    <row r="117" spans="14:15" x14ac:dyDescent="0.2">
      <c r="N117" s="727"/>
      <c r="O117" s="727"/>
    </row>
    <row r="118" spans="14:15" x14ac:dyDescent="0.2">
      <c r="N118" s="727"/>
      <c r="O118" s="727"/>
    </row>
    <row r="119" spans="14:15" x14ac:dyDescent="0.2">
      <c r="N119" s="727"/>
      <c r="O119" s="727"/>
    </row>
    <row r="120" spans="14:15" x14ac:dyDescent="0.2">
      <c r="N120" s="727"/>
      <c r="O120" s="727"/>
    </row>
    <row r="121" spans="14:15" x14ac:dyDescent="0.2">
      <c r="N121" s="727"/>
      <c r="O121" s="727"/>
    </row>
    <row r="122" spans="14:15" x14ac:dyDescent="0.2">
      <c r="N122" s="727"/>
      <c r="O122" s="727"/>
    </row>
    <row r="123" spans="14:15" x14ac:dyDescent="0.2">
      <c r="N123" s="727"/>
      <c r="O123" s="727"/>
    </row>
    <row r="124" spans="14:15" x14ac:dyDescent="0.2">
      <c r="N124" s="727"/>
      <c r="O124" s="727"/>
    </row>
    <row r="125" spans="14:15" x14ac:dyDescent="0.2">
      <c r="N125" s="727"/>
      <c r="O125" s="727"/>
    </row>
    <row r="126" spans="14:15" x14ac:dyDescent="0.2">
      <c r="N126" s="727"/>
      <c r="O126" s="727"/>
    </row>
    <row r="127" spans="14:15" x14ac:dyDescent="0.2">
      <c r="N127" s="727"/>
      <c r="O127" s="727"/>
    </row>
    <row r="128" spans="14:15" x14ac:dyDescent="0.2">
      <c r="N128" s="727"/>
      <c r="O128" s="727"/>
    </row>
    <row r="129" spans="14:15" x14ac:dyDescent="0.2">
      <c r="N129" s="727"/>
      <c r="O129" s="727"/>
    </row>
    <row r="130" spans="14:15" x14ac:dyDescent="0.2">
      <c r="N130" s="727"/>
      <c r="O130" s="727"/>
    </row>
    <row r="131" spans="14:15" x14ac:dyDescent="0.2">
      <c r="N131" s="727"/>
      <c r="O131" s="727"/>
    </row>
    <row r="132" spans="14:15" x14ac:dyDescent="0.2">
      <c r="N132" s="727"/>
      <c r="O132" s="727"/>
    </row>
    <row r="133" spans="14:15" x14ac:dyDescent="0.2">
      <c r="N133" s="727"/>
      <c r="O133" s="727"/>
    </row>
    <row r="134" spans="14:15" x14ac:dyDescent="0.2">
      <c r="N134" s="727"/>
      <c r="O134" s="727"/>
    </row>
    <row r="135" spans="14:15" x14ac:dyDescent="0.2">
      <c r="N135" s="727"/>
      <c r="O135" s="727"/>
    </row>
    <row r="136" spans="14:15" x14ac:dyDescent="0.2">
      <c r="N136" s="727"/>
      <c r="O136" s="727"/>
    </row>
    <row r="137" spans="14:15" x14ac:dyDescent="0.2">
      <c r="N137" s="727"/>
      <c r="O137" s="727"/>
    </row>
    <row r="138" spans="14:15" x14ac:dyDescent="0.2">
      <c r="N138" s="727"/>
      <c r="O138" s="727"/>
    </row>
    <row r="139" spans="14:15" x14ac:dyDescent="0.2">
      <c r="N139" s="727"/>
      <c r="O139" s="727"/>
    </row>
    <row r="140" spans="14:15" x14ac:dyDescent="0.2">
      <c r="N140" s="727"/>
      <c r="O140" s="727"/>
    </row>
    <row r="141" spans="14:15" x14ac:dyDescent="0.2">
      <c r="N141" s="727"/>
      <c r="O141" s="727"/>
    </row>
    <row r="142" spans="14:15" x14ac:dyDescent="0.2">
      <c r="N142" s="727"/>
      <c r="O142" s="727"/>
    </row>
    <row r="143" spans="14:15" x14ac:dyDescent="0.2">
      <c r="N143" s="727"/>
      <c r="O143" s="727"/>
    </row>
    <row r="144" spans="14:15" x14ac:dyDescent="0.2">
      <c r="N144" s="727"/>
      <c r="O144" s="727"/>
    </row>
    <row r="145" spans="14:15" x14ac:dyDescent="0.2">
      <c r="N145" s="727"/>
      <c r="O145" s="727"/>
    </row>
    <row r="146" spans="14:15" x14ac:dyDescent="0.2">
      <c r="N146" s="727"/>
      <c r="O146" s="727"/>
    </row>
    <row r="147" spans="14:15" x14ac:dyDescent="0.2">
      <c r="N147" s="727"/>
      <c r="O147" s="727"/>
    </row>
    <row r="148" spans="14:15" x14ac:dyDescent="0.2">
      <c r="N148" s="727"/>
      <c r="O148" s="727"/>
    </row>
    <row r="149" spans="14:15" x14ac:dyDescent="0.2">
      <c r="N149" s="727"/>
      <c r="O149" s="727"/>
    </row>
    <row r="150" spans="14:15" x14ac:dyDescent="0.2">
      <c r="N150" s="727"/>
      <c r="O150" s="727"/>
    </row>
    <row r="151" spans="14:15" x14ac:dyDescent="0.2">
      <c r="N151" s="727"/>
      <c r="O151" s="727"/>
    </row>
    <row r="152" spans="14:15" x14ac:dyDescent="0.2">
      <c r="N152" s="727"/>
      <c r="O152" s="727"/>
    </row>
    <row r="153" spans="14:15" x14ac:dyDescent="0.2">
      <c r="N153" s="727"/>
      <c r="O153" s="727"/>
    </row>
    <row r="154" spans="14:15" x14ac:dyDescent="0.2">
      <c r="N154" s="727"/>
      <c r="O154" s="727"/>
    </row>
    <row r="155" spans="14:15" x14ac:dyDescent="0.2">
      <c r="N155" s="727"/>
      <c r="O155" s="727"/>
    </row>
    <row r="156" spans="14:15" x14ac:dyDescent="0.2">
      <c r="N156" s="727"/>
      <c r="O156" s="727"/>
    </row>
    <row r="157" spans="14:15" x14ac:dyDescent="0.2">
      <c r="N157" s="727"/>
      <c r="O157" s="727"/>
    </row>
    <row r="158" spans="14:15" x14ac:dyDescent="0.2">
      <c r="N158" s="727"/>
      <c r="O158" s="727"/>
    </row>
    <row r="159" spans="14:15" x14ac:dyDescent="0.2">
      <c r="N159" s="727"/>
      <c r="O159" s="727"/>
    </row>
    <row r="160" spans="14:15" x14ac:dyDescent="0.2">
      <c r="N160" s="727"/>
      <c r="O160" s="727"/>
    </row>
    <row r="161" spans="14:15" x14ac:dyDescent="0.2">
      <c r="N161" s="727"/>
      <c r="O161" s="727"/>
    </row>
    <row r="162" spans="14:15" x14ac:dyDescent="0.2">
      <c r="N162" s="727"/>
      <c r="O162" s="727"/>
    </row>
    <row r="163" spans="14:15" x14ac:dyDescent="0.2">
      <c r="N163" s="727"/>
      <c r="O163" s="727"/>
    </row>
    <row r="164" spans="14:15" x14ac:dyDescent="0.2">
      <c r="N164" s="727"/>
      <c r="O164" s="727"/>
    </row>
    <row r="165" spans="14:15" x14ac:dyDescent="0.2">
      <c r="N165" s="727"/>
      <c r="O165" s="727"/>
    </row>
    <row r="166" spans="14:15" x14ac:dyDescent="0.2">
      <c r="N166" s="727"/>
      <c r="O166" s="727"/>
    </row>
    <row r="167" spans="14:15" x14ac:dyDescent="0.2">
      <c r="N167" s="727"/>
      <c r="O167" s="727"/>
    </row>
    <row r="168" spans="14:15" x14ac:dyDescent="0.2">
      <c r="N168" s="727"/>
      <c r="O168" s="727"/>
    </row>
    <row r="169" spans="14:15" x14ac:dyDescent="0.2">
      <c r="N169" s="727"/>
      <c r="O169" s="727"/>
    </row>
  </sheetData>
  <sheetProtection sheet="1" objects="1" scenarios="1"/>
  <mergeCells count="7">
    <mergeCell ref="N2:O2"/>
    <mergeCell ref="A3:C4"/>
    <mergeCell ref="A1:E1"/>
    <mergeCell ref="F1:G1"/>
    <mergeCell ref="A2:E2"/>
    <mergeCell ref="K2:L2"/>
    <mergeCell ref="N4:O5"/>
  </mergeCells>
  <dataValidations count="2">
    <dataValidation type="list" allowBlank="1" showInputMessage="1" showErrorMessage="1" sqref="WVA983044:WVG983044 IO4:IU4 SK4:SQ4 ACG4:ACM4 AMC4:AMI4 AVY4:AWE4 BFU4:BGA4 BPQ4:BPW4 BZM4:BZS4 CJI4:CJO4 CTE4:CTK4 DDA4:DDG4 DMW4:DNC4 DWS4:DWY4 EGO4:EGU4 EQK4:EQQ4 FAG4:FAM4 FKC4:FKI4 FTY4:FUE4 GDU4:GEA4 GNQ4:GNW4 GXM4:GXS4 HHI4:HHO4 HRE4:HRK4 IBA4:IBG4 IKW4:ILC4 IUS4:IUY4 JEO4:JEU4 JOK4:JOQ4 JYG4:JYM4 KIC4:KII4 KRY4:KSE4 LBU4:LCA4 LLQ4:LLW4 LVM4:LVS4 MFI4:MFO4 MPE4:MPK4 MZA4:MZG4 NIW4:NJC4 NSS4:NSY4 OCO4:OCU4 OMK4:OMQ4 OWG4:OWM4 PGC4:PGI4 PPY4:PQE4 PZU4:QAA4 QJQ4:QJW4 QTM4:QTS4 RDI4:RDO4 RNE4:RNK4 RXA4:RXG4 SGW4:SHC4 SQS4:SQY4 TAO4:TAU4 TKK4:TKQ4 TUG4:TUM4 UEC4:UEI4 UNY4:UOE4 UXU4:UYA4 VHQ4:VHW4 VRM4:VRS4 WBI4:WBO4 WLE4:WLK4 WVA4:WVG4 E65540:K65540 IO65540:IU65540 SK65540:SQ65540 ACG65540:ACM65540 AMC65540:AMI65540 AVY65540:AWE65540 BFU65540:BGA65540 BPQ65540:BPW65540 BZM65540:BZS65540 CJI65540:CJO65540 CTE65540:CTK65540 DDA65540:DDG65540 DMW65540:DNC65540 DWS65540:DWY65540 EGO65540:EGU65540 EQK65540:EQQ65540 FAG65540:FAM65540 FKC65540:FKI65540 FTY65540:FUE65540 GDU65540:GEA65540 GNQ65540:GNW65540 GXM65540:GXS65540 HHI65540:HHO65540 HRE65540:HRK65540 IBA65540:IBG65540 IKW65540:ILC65540 IUS65540:IUY65540 JEO65540:JEU65540 JOK65540:JOQ65540 JYG65540:JYM65540 KIC65540:KII65540 KRY65540:KSE65540 LBU65540:LCA65540 LLQ65540:LLW65540 LVM65540:LVS65540 MFI65540:MFO65540 MPE65540:MPK65540 MZA65540:MZG65540 NIW65540:NJC65540 NSS65540:NSY65540 OCO65540:OCU65540 OMK65540:OMQ65540 OWG65540:OWM65540 PGC65540:PGI65540 PPY65540:PQE65540 PZU65540:QAA65540 QJQ65540:QJW65540 QTM65540:QTS65540 RDI65540:RDO65540 RNE65540:RNK65540 RXA65540:RXG65540 SGW65540:SHC65540 SQS65540:SQY65540 TAO65540:TAU65540 TKK65540:TKQ65540 TUG65540:TUM65540 UEC65540:UEI65540 UNY65540:UOE65540 UXU65540:UYA65540 VHQ65540:VHW65540 VRM65540:VRS65540 WBI65540:WBO65540 WLE65540:WLK65540 WVA65540:WVG65540 E131076:K131076 IO131076:IU131076 SK131076:SQ131076 ACG131076:ACM131076 AMC131076:AMI131076 AVY131076:AWE131076 BFU131076:BGA131076 BPQ131076:BPW131076 BZM131076:BZS131076 CJI131076:CJO131076 CTE131076:CTK131076 DDA131076:DDG131076 DMW131076:DNC131076 DWS131076:DWY131076 EGO131076:EGU131076 EQK131076:EQQ131076 FAG131076:FAM131076 FKC131076:FKI131076 FTY131076:FUE131076 GDU131076:GEA131076 GNQ131076:GNW131076 GXM131076:GXS131076 HHI131076:HHO131076 HRE131076:HRK131076 IBA131076:IBG131076 IKW131076:ILC131076 IUS131076:IUY131076 JEO131076:JEU131076 JOK131076:JOQ131076 JYG131076:JYM131076 KIC131076:KII131076 KRY131076:KSE131076 LBU131076:LCA131076 LLQ131076:LLW131076 LVM131076:LVS131076 MFI131076:MFO131076 MPE131076:MPK131076 MZA131076:MZG131076 NIW131076:NJC131076 NSS131076:NSY131076 OCO131076:OCU131076 OMK131076:OMQ131076 OWG131076:OWM131076 PGC131076:PGI131076 PPY131076:PQE131076 PZU131076:QAA131076 QJQ131076:QJW131076 QTM131076:QTS131076 RDI131076:RDO131076 RNE131076:RNK131076 RXA131076:RXG131076 SGW131076:SHC131076 SQS131076:SQY131076 TAO131076:TAU131076 TKK131076:TKQ131076 TUG131076:TUM131076 UEC131076:UEI131076 UNY131076:UOE131076 UXU131076:UYA131076 VHQ131076:VHW131076 VRM131076:VRS131076 WBI131076:WBO131076 WLE131076:WLK131076 WVA131076:WVG131076 E196612:K196612 IO196612:IU196612 SK196612:SQ196612 ACG196612:ACM196612 AMC196612:AMI196612 AVY196612:AWE196612 BFU196612:BGA196612 BPQ196612:BPW196612 BZM196612:BZS196612 CJI196612:CJO196612 CTE196612:CTK196612 DDA196612:DDG196612 DMW196612:DNC196612 DWS196612:DWY196612 EGO196612:EGU196612 EQK196612:EQQ196612 FAG196612:FAM196612 FKC196612:FKI196612 FTY196612:FUE196612 GDU196612:GEA196612 GNQ196612:GNW196612 GXM196612:GXS196612 HHI196612:HHO196612 HRE196612:HRK196612 IBA196612:IBG196612 IKW196612:ILC196612 IUS196612:IUY196612 JEO196612:JEU196612 JOK196612:JOQ196612 JYG196612:JYM196612 KIC196612:KII196612 KRY196612:KSE196612 LBU196612:LCA196612 LLQ196612:LLW196612 LVM196612:LVS196612 MFI196612:MFO196612 MPE196612:MPK196612 MZA196612:MZG196612 NIW196612:NJC196612 NSS196612:NSY196612 OCO196612:OCU196612 OMK196612:OMQ196612 OWG196612:OWM196612 PGC196612:PGI196612 PPY196612:PQE196612 PZU196612:QAA196612 QJQ196612:QJW196612 QTM196612:QTS196612 RDI196612:RDO196612 RNE196612:RNK196612 RXA196612:RXG196612 SGW196612:SHC196612 SQS196612:SQY196612 TAO196612:TAU196612 TKK196612:TKQ196612 TUG196612:TUM196612 UEC196612:UEI196612 UNY196612:UOE196612 UXU196612:UYA196612 VHQ196612:VHW196612 VRM196612:VRS196612 WBI196612:WBO196612 WLE196612:WLK196612 WVA196612:WVG196612 E262148:K262148 IO262148:IU262148 SK262148:SQ262148 ACG262148:ACM262148 AMC262148:AMI262148 AVY262148:AWE262148 BFU262148:BGA262148 BPQ262148:BPW262148 BZM262148:BZS262148 CJI262148:CJO262148 CTE262148:CTK262148 DDA262148:DDG262148 DMW262148:DNC262148 DWS262148:DWY262148 EGO262148:EGU262148 EQK262148:EQQ262148 FAG262148:FAM262148 FKC262148:FKI262148 FTY262148:FUE262148 GDU262148:GEA262148 GNQ262148:GNW262148 GXM262148:GXS262148 HHI262148:HHO262148 HRE262148:HRK262148 IBA262148:IBG262148 IKW262148:ILC262148 IUS262148:IUY262148 JEO262148:JEU262148 JOK262148:JOQ262148 JYG262148:JYM262148 KIC262148:KII262148 KRY262148:KSE262148 LBU262148:LCA262148 LLQ262148:LLW262148 LVM262148:LVS262148 MFI262148:MFO262148 MPE262148:MPK262148 MZA262148:MZG262148 NIW262148:NJC262148 NSS262148:NSY262148 OCO262148:OCU262148 OMK262148:OMQ262148 OWG262148:OWM262148 PGC262148:PGI262148 PPY262148:PQE262148 PZU262148:QAA262148 QJQ262148:QJW262148 QTM262148:QTS262148 RDI262148:RDO262148 RNE262148:RNK262148 RXA262148:RXG262148 SGW262148:SHC262148 SQS262148:SQY262148 TAO262148:TAU262148 TKK262148:TKQ262148 TUG262148:TUM262148 UEC262148:UEI262148 UNY262148:UOE262148 UXU262148:UYA262148 VHQ262148:VHW262148 VRM262148:VRS262148 WBI262148:WBO262148 WLE262148:WLK262148 WVA262148:WVG262148 E327684:K327684 IO327684:IU327684 SK327684:SQ327684 ACG327684:ACM327684 AMC327684:AMI327684 AVY327684:AWE327684 BFU327684:BGA327684 BPQ327684:BPW327684 BZM327684:BZS327684 CJI327684:CJO327684 CTE327684:CTK327684 DDA327684:DDG327684 DMW327684:DNC327684 DWS327684:DWY327684 EGO327684:EGU327684 EQK327684:EQQ327684 FAG327684:FAM327684 FKC327684:FKI327684 FTY327684:FUE327684 GDU327684:GEA327684 GNQ327684:GNW327684 GXM327684:GXS327684 HHI327684:HHO327684 HRE327684:HRK327684 IBA327684:IBG327684 IKW327684:ILC327684 IUS327684:IUY327684 JEO327684:JEU327684 JOK327684:JOQ327684 JYG327684:JYM327684 KIC327684:KII327684 KRY327684:KSE327684 LBU327684:LCA327684 LLQ327684:LLW327684 LVM327684:LVS327684 MFI327684:MFO327684 MPE327684:MPK327684 MZA327684:MZG327684 NIW327684:NJC327684 NSS327684:NSY327684 OCO327684:OCU327684 OMK327684:OMQ327684 OWG327684:OWM327684 PGC327684:PGI327684 PPY327684:PQE327684 PZU327684:QAA327684 QJQ327684:QJW327684 QTM327684:QTS327684 RDI327684:RDO327684 RNE327684:RNK327684 RXA327684:RXG327684 SGW327684:SHC327684 SQS327684:SQY327684 TAO327684:TAU327684 TKK327684:TKQ327684 TUG327684:TUM327684 UEC327684:UEI327684 UNY327684:UOE327684 UXU327684:UYA327684 VHQ327684:VHW327684 VRM327684:VRS327684 WBI327684:WBO327684 WLE327684:WLK327684 WVA327684:WVG327684 E393220:K393220 IO393220:IU393220 SK393220:SQ393220 ACG393220:ACM393220 AMC393220:AMI393220 AVY393220:AWE393220 BFU393220:BGA393220 BPQ393220:BPW393220 BZM393220:BZS393220 CJI393220:CJO393220 CTE393220:CTK393220 DDA393220:DDG393220 DMW393220:DNC393220 DWS393220:DWY393220 EGO393220:EGU393220 EQK393220:EQQ393220 FAG393220:FAM393220 FKC393220:FKI393220 FTY393220:FUE393220 GDU393220:GEA393220 GNQ393220:GNW393220 GXM393220:GXS393220 HHI393220:HHO393220 HRE393220:HRK393220 IBA393220:IBG393220 IKW393220:ILC393220 IUS393220:IUY393220 JEO393220:JEU393220 JOK393220:JOQ393220 JYG393220:JYM393220 KIC393220:KII393220 KRY393220:KSE393220 LBU393220:LCA393220 LLQ393220:LLW393220 LVM393220:LVS393220 MFI393220:MFO393220 MPE393220:MPK393220 MZA393220:MZG393220 NIW393220:NJC393220 NSS393220:NSY393220 OCO393220:OCU393220 OMK393220:OMQ393220 OWG393220:OWM393220 PGC393220:PGI393220 PPY393220:PQE393220 PZU393220:QAA393220 QJQ393220:QJW393220 QTM393220:QTS393220 RDI393220:RDO393220 RNE393220:RNK393220 RXA393220:RXG393220 SGW393220:SHC393220 SQS393220:SQY393220 TAO393220:TAU393220 TKK393220:TKQ393220 TUG393220:TUM393220 UEC393220:UEI393220 UNY393220:UOE393220 UXU393220:UYA393220 VHQ393220:VHW393220 VRM393220:VRS393220 WBI393220:WBO393220 WLE393220:WLK393220 WVA393220:WVG393220 E458756:K458756 IO458756:IU458756 SK458756:SQ458756 ACG458756:ACM458756 AMC458756:AMI458756 AVY458756:AWE458756 BFU458756:BGA458756 BPQ458756:BPW458756 BZM458756:BZS458756 CJI458756:CJO458756 CTE458756:CTK458756 DDA458756:DDG458756 DMW458756:DNC458756 DWS458756:DWY458756 EGO458756:EGU458756 EQK458756:EQQ458756 FAG458756:FAM458756 FKC458756:FKI458756 FTY458756:FUE458756 GDU458756:GEA458756 GNQ458756:GNW458756 GXM458756:GXS458756 HHI458756:HHO458756 HRE458756:HRK458756 IBA458756:IBG458756 IKW458756:ILC458756 IUS458756:IUY458756 JEO458756:JEU458756 JOK458756:JOQ458756 JYG458756:JYM458756 KIC458756:KII458756 KRY458756:KSE458756 LBU458756:LCA458756 LLQ458756:LLW458756 LVM458756:LVS458756 MFI458756:MFO458756 MPE458756:MPK458756 MZA458756:MZG458756 NIW458756:NJC458756 NSS458756:NSY458756 OCO458756:OCU458756 OMK458756:OMQ458756 OWG458756:OWM458756 PGC458756:PGI458756 PPY458756:PQE458756 PZU458756:QAA458756 QJQ458756:QJW458756 QTM458756:QTS458756 RDI458756:RDO458756 RNE458756:RNK458756 RXA458756:RXG458756 SGW458756:SHC458756 SQS458756:SQY458756 TAO458756:TAU458756 TKK458756:TKQ458756 TUG458756:TUM458756 UEC458756:UEI458756 UNY458756:UOE458756 UXU458756:UYA458756 VHQ458756:VHW458756 VRM458756:VRS458756 WBI458756:WBO458756 WLE458756:WLK458756 WVA458756:WVG458756 E524292:K524292 IO524292:IU524292 SK524292:SQ524292 ACG524292:ACM524292 AMC524292:AMI524292 AVY524292:AWE524292 BFU524292:BGA524292 BPQ524292:BPW524292 BZM524292:BZS524292 CJI524292:CJO524292 CTE524292:CTK524292 DDA524292:DDG524292 DMW524292:DNC524292 DWS524292:DWY524292 EGO524292:EGU524292 EQK524292:EQQ524292 FAG524292:FAM524292 FKC524292:FKI524292 FTY524292:FUE524292 GDU524292:GEA524292 GNQ524292:GNW524292 GXM524292:GXS524292 HHI524292:HHO524292 HRE524292:HRK524292 IBA524292:IBG524292 IKW524292:ILC524292 IUS524292:IUY524292 JEO524292:JEU524292 JOK524292:JOQ524292 JYG524292:JYM524292 KIC524292:KII524292 KRY524292:KSE524292 LBU524292:LCA524292 LLQ524292:LLW524292 LVM524292:LVS524292 MFI524292:MFO524292 MPE524292:MPK524292 MZA524292:MZG524292 NIW524292:NJC524292 NSS524292:NSY524292 OCO524292:OCU524292 OMK524292:OMQ524292 OWG524292:OWM524292 PGC524292:PGI524292 PPY524292:PQE524292 PZU524292:QAA524292 QJQ524292:QJW524292 QTM524292:QTS524292 RDI524292:RDO524292 RNE524292:RNK524292 RXA524292:RXG524292 SGW524292:SHC524292 SQS524292:SQY524292 TAO524292:TAU524292 TKK524292:TKQ524292 TUG524292:TUM524292 UEC524292:UEI524292 UNY524292:UOE524292 UXU524292:UYA524292 VHQ524292:VHW524292 VRM524292:VRS524292 WBI524292:WBO524292 WLE524292:WLK524292 WVA524292:WVG524292 E589828:K589828 IO589828:IU589828 SK589828:SQ589828 ACG589828:ACM589828 AMC589828:AMI589828 AVY589828:AWE589828 BFU589828:BGA589828 BPQ589828:BPW589828 BZM589828:BZS589828 CJI589828:CJO589828 CTE589828:CTK589828 DDA589828:DDG589828 DMW589828:DNC589828 DWS589828:DWY589828 EGO589828:EGU589828 EQK589828:EQQ589828 FAG589828:FAM589828 FKC589828:FKI589828 FTY589828:FUE589828 GDU589828:GEA589828 GNQ589828:GNW589828 GXM589828:GXS589828 HHI589828:HHO589828 HRE589828:HRK589828 IBA589828:IBG589828 IKW589828:ILC589828 IUS589828:IUY589828 JEO589828:JEU589828 JOK589828:JOQ589828 JYG589828:JYM589828 KIC589828:KII589828 KRY589828:KSE589828 LBU589828:LCA589828 LLQ589828:LLW589828 LVM589828:LVS589828 MFI589828:MFO589828 MPE589828:MPK589828 MZA589828:MZG589828 NIW589828:NJC589828 NSS589828:NSY589828 OCO589828:OCU589828 OMK589828:OMQ589828 OWG589828:OWM589828 PGC589828:PGI589828 PPY589828:PQE589828 PZU589828:QAA589828 QJQ589828:QJW589828 QTM589828:QTS589828 RDI589828:RDO589828 RNE589828:RNK589828 RXA589828:RXG589828 SGW589828:SHC589828 SQS589828:SQY589828 TAO589828:TAU589828 TKK589828:TKQ589828 TUG589828:TUM589828 UEC589828:UEI589828 UNY589828:UOE589828 UXU589828:UYA589828 VHQ589828:VHW589828 VRM589828:VRS589828 WBI589828:WBO589828 WLE589828:WLK589828 WVA589828:WVG589828 E655364:K655364 IO655364:IU655364 SK655364:SQ655364 ACG655364:ACM655364 AMC655364:AMI655364 AVY655364:AWE655364 BFU655364:BGA655364 BPQ655364:BPW655364 BZM655364:BZS655364 CJI655364:CJO655364 CTE655364:CTK655364 DDA655364:DDG655364 DMW655364:DNC655364 DWS655364:DWY655364 EGO655364:EGU655364 EQK655364:EQQ655364 FAG655364:FAM655364 FKC655364:FKI655364 FTY655364:FUE655364 GDU655364:GEA655364 GNQ655364:GNW655364 GXM655364:GXS655364 HHI655364:HHO655364 HRE655364:HRK655364 IBA655364:IBG655364 IKW655364:ILC655364 IUS655364:IUY655364 JEO655364:JEU655364 JOK655364:JOQ655364 JYG655364:JYM655364 KIC655364:KII655364 KRY655364:KSE655364 LBU655364:LCA655364 LLQ655364:LLW655364 LVM655364:LVS655364 MFI655364:MFO655364 MPE655364:MPK655364 MZA655364:MZG655364 NIW655364:NJC655364 NSS655364:NSY655364 OCO655364:OCU655364 OMK655364:OMQ655364 OWG655364:OWM655364 PGC655364:PGI655364 PPY655364:PQE655364 PZU655364:QAA655364 QJQ655364:QJW655364 QTM655364:QTS655364 RDI655364:RDO655364 RNE655364:RNK655364 RXA655364:RXG655364 SGW655364:SHC655364 SQS655364:SQY655364 TAO655364:TAU655364 TKK655364:TKQ655364 TUG655364:TUM655364 UEC655364:UEI655364 UNY655364:UOE655364 UXU655364:UYA655364 VHQ655364:VHW655364 VRM655364:VRS655364 WBI655364:WBO655364 WLE655364:WLK655364 WVA655364:WVG655364 E720900:K720900 IO720900:IU720900 SK720900:SQ720900 ACG720900:ACM720900 AMC720900:AMI720900 AVY720900:AWE720900 BFU720900:BGA720900 BPQ720900:BPW720900 BZM720900:BZS720900 CJI720900:CJO720900 CTE720900:CTK720900 DDA720900:DDG720900 DMW720900:DNC720900 DWS720900:DWY720900 EGO720900:EGU720900 EQK720900:EQQ720900 FAG720900:FAM720900 FKC720900:FKI720900 FTY720900:FUE720900 GDU720900:GEA720900 GNQ720900:GNW720900 GXM720900:GXS720900 HHI720900:HHO720900 HRE720900:HRK720900 IBA720900:IBG720900 IKW720900:ILC720900 IUS720900:IUY720900 JEO720900:JEU720900 JOK720900:JOQ720900 JYG720900:JYM720900 KIC720900:KII720900 KRY720900:KSE720900 LBU720900:LCA720900 LLQ720900:LLW720900 LVM720900:LVS720900 MFI720900:MFO720900 MPE720900:MPK720900 MZA720900:MZG720900 NIW720900:NJC720900 NSS720900:NSY720900 OCO720900:OCU720900 OMK720900:OMQ720900 OWG720900:OWM720900 PGC720900:PGI720900 PPY720900:PQE720900 PZU720900:QAA720900 QJQ720900:QJW720900 QTM720900:QTS720900 RDI720900:RDO720900 RNE720900:RNK720900 RXA720900:RXG720900 SGW720900:SHC720900 SQS720900:SQY720900 TAO720900:TAU720900 TKK720900:TKQ720900 TUG720900:TUM720900 UEC720900:UEI720900 UNY720900:UOE720900 UXU720900:UYA720900 VHQ720900:VHW720900 VRM720900:VRS720900 WBI720900:WBO720900 WLE720900:WLK720900 WVA720900:WVG720900 E786436:K786436 IO786436:IU786436 SK786436:SQ786436 ACG786436:ACM786436 AMC786436:AMI786436 AVY786436:AWE786436 BFU786436:BGA786436 BPQ786436:BPW786436 BZM786436:BZS786436 CJI786436:CJO786436 CTE786436:CTK786436 DDA786436:DDG786436 DMW786436:DNC786436 DWS786436:DWY786436 EGO786436:EGU786436 EQK786436:EQQ786436 FAG786436:FAM786436 FKC786436:FKI786436 FTY786436:FUE786436 GDU786436:GEA786436 GNQ786436:GNW786436 GXM786436:GXS786436 HHI786436:HHO786436 HRE786436:HRK786436 IBA786436:IBG786436 IKW786436:ILC786436 IUS786436:IUY786436 JEO786436:JEU786436 JOK786436:JOQ786436 JYG786436:JYM786436 KIC786436:KII786436 KRY786436:KSE786436 LBU786436:LCA786436 LLQ786436:LLW786436 LVM786436:LVS786436 MFI786436:MFO786436 MPE786436:MPK786436 MZA786436:MZG786436 NIW786436:NJC786436 NSS786436:NSY786436 OCO786436:OCU786436 OMK786436:OMQ786436 OWG786436:OWM786436 PGC786436:PGI786436 PPY786436:PQE786436 PZU786436:QAA786436 QJQ786436:QJW786436 QTM786436:QTS786436 RDI786436:RDO786436 RNE786436:RNK786436 RXA786436:RXG786436 SGW786436:SHC786436 SQS786436:SQY786436 TAO786436:TAU786436 TKK786436:TKQ786436 TUG786436:TUM786436 UEC786436:UEI786436 UNY786436:UOE786436 UXU786436:UYA786436 VHQ786436:VHW786436 VRM786436:VRS786436 WBI786436:WBO786436 WLE786436:WLK786436 WVA786436:WVG786436 E851972:K851972 IO851972:IU851972 SK851972:SQ851972 ACG851972:ACM851972 AMC851972:AMI851972 AVY851972:AWE851972 BFU851972:BGA851972 BPQ851972:BPW851972 BZM851972:BZS851972 CJI851972:CJO851972 CTE851972:CTK851972 DDA851972:DDG851972 DMW851972:DNC851972 DWS851972:DWY851972 EGO851972:EGU851972 EQK851972:EQQ851972 FAG851972:FAM851972 FKC851972:FKI851972 FTY851972:FUE851972 GDU851972:GEA851972 GNQ851972:GNW851972 GXM851972:GXS851972 HHI851972:HHO851972 HRE851972:HRK851972 IBA851972:IBG851972 IKW851972:ILC851972 IUS851972:IUY851972 JEO851972:JEU851972 JOK851972:JOQ851972 JYG851972:JYM851972 KIC851972:KII851972 KRY851972:KSE851972 LBU851972:LCA851972 LLQ851972:LLW851972 LVM851972:LVS851972 MFI851972:MFO851972 MPE851972:MPK851972 MZA851972:MZG851972 NIW851972:NJC851972 NSS851972:NSY851972 OCO851972:OCU851972 OMK851972:OMQ851972 OWG851972:OWM851972 PGC851972:PGI851972 PPY851972:PQE851972 PZU851972:QAA851972 QJQ851972:QJW851972 QTM851972:QTS851972 RDI851972:RDO851972 RNE851972:RNK851972 RXA851972:RXG851972 SGW851972:SHC851972 SQS851972:SQY851972 TAO851972:TAU851972 TKK851972:TKQ851972 TUG851972:TUM851972 UEC851972:UEI851972 UNY851972:UOE851972 UXU851972:UYA851972 VHQ851972:VHW851972 VRM851972:VRS851972 WBI851972:WBO851972 WLE851972:WLK851972 WVA851972:WVG851972 E917508:K917508 IO917508:IU917508 SK917508:SQ917508 ACG917508:ACM917508 AMC917508:AMI917508 AVY917508:AWE917508 BFU917508:BGA917508 BPQ917508:BPW917508 BZM917508:BZS917508 CJI917508:CJO917508 CTE917508:CTK917508 DDA917508:DDG917508 DMW917508:DNC917508 DWS917508:DWY917508 EGO917508:EGU917508 EQK917508:EQQ917508 FAG917508:FAM917508 FKC917508:FKI917508 FTY917508:FUE917508 GDU917508:GEA917508 GNQ917508:GNW917508 GXM917508:GXS917508 HHI917508:HHO917508 HRE917508:HRK917508 IBA917508:IBG917508 IKW917508:ILC917508 IUS917508:IUY917508 JEO917508:JEU917508 JOK917508:JOQ917508 JYG917508:JYM917508 KIC917508:KII917508 KRY917508:KSE917508 LBU917508:LCA917508 LLQ917508:LLW917508 LVM917508:LVS917508 MFI917508:MFO917508 MPE917508:MPK917508 MZA917508:MZG917508 NIW917508:NJC917508 NSS917508:NSY917508 OCO917508:OCU917508 OMK917508:OMQ917508 OWG917508:OWM917508 PGC917508:PGI917508 PPY917508:PQE917508 PZU917508:QAA917508 QJQ917508:QJW917508 QTM917508:QTS917508 RDI917508:RDO917508 RNE917508:RNK917508 RXA917508:RXG917508 SGW917508:SHC917508 SQS917508:SQY917508 TAO917508:TAU917508 TKK917508:TKQ917508 TUG917508:TUM917508 UEC917508:UEI917508 UNY917508:UOE917508 UXU917508:UYA917508 VHQ917508:VHW917508 VRM917508:VRS917508 WBI917508:WBO917508 WLE917508:WLK917508 WVA917508:WVG917508 E983044:K983044 IO983044:IU983044 SK983044:SQ983044 ACG983044:ACM983044 AMC983044:AMI983044 AVY983044:AWE983044 BFU983044:BGA983044 BPQ983044:BPW983044 BZM983044:BZS983044 CJI983044:CJO983044 CTE983044:CTK983044 DDA983044:DDG983044 DMW983044:DNC983044 DWS983044:DWY983044 EGO983044:EGU983044 EQK983044:EQQ983044 FAG983044:FAM983044 FKC983044:FKI983044 FTY983044:FUE983044 GDU983044:GEA983044 GNQ983044:GNW983044 GXM983044:GXS983044 HHI983044:HHO983044 HRE983044:HRK983044 IBA983044:IBG983044 IKW983044:ILC983044 IUS983044:IUY983044 JEO983044:JEU983044 JOK983044:JOQ983044 JYG983044:JYM983044 KIC983044:KII983044 KRY983044:KSE983044 LBU983044:LCA983044 LLQ983044:LLW983044 LVM983044:LVS983044 MFI983044:MFO983044 MPE983044:MPK983044 MZA983044:MZG983044 NIW983044:NJC983044 NSS983044:NSY983044 OCO983044:OCU983044 OMK983044:OMQ983044 OWG983044:OWM983044 PGC983044:PGI983044 PPY983044:PQE983044 PZU983044:QAA983044 QJQ983044:QJW983044 QTM983044:QTS983044 RDI983044:RDO983044 RNE983044:RNK983044 RXA983044:RXG983044 SGW983044:SHC983044 SQS983044:SQY983044 TAO983044:TAU983044 TKK983044:TKQ983044 TUG983044:TUM983044 UEC983044:UEI983044 UNY983044:UOE983044 UXU983044:UYA983044 VHQ983044:VHW983044 VRM983044:VRS983044 WBI983044:WBO983044 WLE983044:WLK983044">
      <formula1>$N$7:$N$45</formula1>
    </dataValidation>
    <dataValidation type="list" allowBlank="1" showInputMessage="1" showErrorMessage="1" sqref="E4:M4">
      <formula1>$O$7:$O$42</formula1>
    </dataValidation>
  </dataValidations>
  <pageMargins left="0.47244094488188981" right="0.23622047244094491" top="0.27559055118110237" bottom="0.31496062992125984" header="1.3385826771653544" footer="0.15748031496062992"/>
  <pageSetup paperSize="9"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5C8A6DB7-A534-4E27-B7C5-98BB9A59A78D}">
            <xm:f>IF(AND($C7&lt;&gt;PM!$AG$17,ISTEXT($C$4)),1,0)</xm:f>
            <x14:dxf>
              <font>
                <color theme="0"/>
              </font>
            </x14:dxf>
          </x14:cfRule>
          <xm:sqref>D7:D74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H28"/>
  <sheetViews>
    <sheetView zoomScaleNormal="100" workbookViewId="0">
      <selection activeCell="C7" sqref="C7"/>
    </sheetView>
  </sheetViews>
  <sheetFormatPr defaultRowHeight="12.75" x14ac:dyDescent="0.2"/>
  <cols>
    <col min="1" max="1" width="4.28515625" style="151" customWidth="1"/>
    <col min="2" max="2" width="40.140625" style="150" customWidth="1"/>
    <col min="3" max="3" width="6.85546875" style="151" customWidth="1"/>
    <col min="4" max="4" width="40.85546875" style="151" customWidth="1"/>
    <col min="5" max="7" width="9.140625" style="151"/>
    <col min="8" max="8" width="9.140625" style="151" hidden="1" customWidth="1"/>
    <col min="9" max="256" width="9.140625" style="151"/>
    <col min="257" max="257" width="4.28515625" style="151" customWidth="1"/>
    <col min="258" max="258" width="40.140625" style="151" customWidth="1"/>
    <col min="259" max="259" width="6.85546875" style="151" customWidth="1"/>
    <col min="260" max="260" width="40.85546875" style="151" customWidth="1"/>
    <col min="261" max="263" width="9.140625" style="151"/>
    <col min="264" max="264" width="0" style="151" hidden="1" customWidth="1"/>
    <col min="265" max="512" width="9.140625" style="151"/>
    <col min="513" max="513" width="4.28515625" style="151" customWidth="1"/>
    <col min="514" max="514" width="40.140625" style="151" customWidth="1"/>
    <col min="515" max="515" width="6.85546875" style="151" customWidth="1"/>
    <col min="516" max="516" width="40.85546875" style="151" customWidth="1"/>
    <col min="517" max="519" width="9.140625" style="151"/>
    <col min="520" max="520" width="0" style="151" hidden="1" customWidth="1"/>
    <col min="521" max="768" width="9.140625" style="151"/>
    <col min="769" max="769" width="4.28515625" style="151" customWidth="1"/>
    <col min="770" max="770" width="40.140625" style="151" customWidth="1"/>
    <col min="771" max="771" width="6.85546875" style="151" customWidth="1"/>
    <col min="772" max="772" width="40.85546875" style="151" customWidth="1"/>
    <col min="773" max="775" width="9.140625" style="151"/>
    <col min="776" max="776" width="0" style="151" hidden="1" customWidth="1"/>
    <col min="777" max="1024" width="9.140625" style="151"/>
    <col min="1025" max="1025" width="4.28515625" style="151" customWidth="1"/>
    <col min="1026" max="1026" width="40.140625" style="151" customWidth="1"/>
    <col min="1027" max="1027" width="6.85546875" style="151" customWidth="1"/>
    <col min="1028" max="1028" width="40.85546875" style="151" customWidth="1"/>
    <col min="1029" max="1031" width="9.140625" style="151"/>
    <col min="1032" max="1032" width="0" style="151" hidden="1" customWidth="1"/>
    <col min="1033" max="1280" width="9.140625" style="151"/>
    <col min="1281" max="1281" width="4.28515625" style="151" customWidth="1"/>
    <col min="1282" max="1282" width="40.140625" style="151" customWidth="1"/>
    <col min="1283" max="1283" width="6.85546875" style="151" customWidth="1"/>
    <col min="1284" max="1284" width="40.85546875" style="151" customWidth="1"/>
    <col min="1285" max="1287" width="9.140625" style="151"/>
    <col min="1288" max="1288" width="0" style="151" hidden="1" customWidth="1"/>
    <col min="1289" max="1536" width="9.140625" style="151"/>
    <col min="1537" max="1537" width="4.28515625" style="151" customWidth="1"/>
    <col min="1538" max="1538" width="40.140625" style="151" customWidth="1"/>
    <col min="1539" max="1539" width="6.85546875" style="151" customWidth="1"/>
    <col min="1540" max="1540" width="40.85546875" style="151" customWidth="1"/>
    <col min="1541" max="1543" width="9.140625" style="151"/>
    <col min="1544" max="1544" width="0" style="151" hidden="1" customWidth="1"/>
    <col min="1545" max="1792" width="9.140625" style="151"/>
    <col min="1793" max="1793" width="4.28515625" style="151" customWidth="1"/>
    <col min="1794" max="1794" width="40.140625" style="151" customWidth="1"/>
    <col min="1795" max="1795" width="6.85546875" style="151" customWidth="1"/>
    <col min="1796" max="1796" width="40.85546875" style="151" customWidth="1"/>
    <col min="1797" max="1799" width="9.140625" style="151"/>
    <col min="1800" max="1800" width="0" style="151" hidden="1" customWidth="1"/>
    <col min="1801" max="2048" width="9.140625" style="151"/>
    <col min="2049" max="2049" width="4.28515625" style="151" customWidth="1"/>
    <col min="2050" max="2050" width="40.140625" style="151" customWidth="1"/>
    <col min="2051" max="2051" width="6.85546875" style="151" customWidth="1"/>
    <col min="2052" max="2052" width="40.85546875" style="151" customWidth="1"/>
    <col min="2053" max="2055" width="9.140625" style="151"/>
    <col min="2056" max="2056" width="0" style="151" hidden="1" customWidth="1"/>
    <col min="2057" max="2304" width="9.140625" style="151"/>
    <col min="2305" max="2305" width="4.28515625" style="151" customWidth="1"/>
    <col min="2306" max="2306" width="40.140625" style="151" customWidth="1"/>
    <col min="2307" max="2307" width="6.85546875" style="151" customWidth="1"/>
    <col min="2308" max="2308" width="40.85546875" style="151" customWidth="1"/>
    <col min="2309" max="2311" width="9.140625" style="151"/>
    <col min="2312" max="2312" width="0" style="151" hidden="1" customWidth="1"/>
    <col min="2313" max="2560" width="9.140625" style="151"/>
    <col min="2561" max="2561" width="4.28515625" style="151" customWidth="1"/>
    <col min="2562" max="2562" width="40.140625" style="151" customWidth="1"/>
    <col min="2563" max="2563" width="6.85546875" style="151" customWidth="1"/>
    <col min="2564" max="2564" width="40.85546875" style="151" customWidth="1"/>
    <col min="2565" max="2567" width="9.140625" style="151"/>
    <col min="2568" max="2568" width="0" style="151" hidden="1" customWidth="1"/>
    <col min="2569" max="2816" width="9.140625" style="151"/>
    <col min="2817" max="2817" width="4.28515625" style="151" customWidth="1"/>
    <col min="2818" max="2818" width="40.140625" style="151" customWidth="1"/>
    <col min="2819" max="2819" width="6.85546875" style="151" customWidth="1"/>
    <col min="2820" max="2820" width="40.85546875" style="151" customWidth="1"/>
    <col min="2821" max="2823" width="9.140625" style="151"/>
    <col min="2824" max="2824" width="0" style="151" hidden="1" customWidth="1"/>
    <col min="2825" max="3072" width="9.140625" style="151"/>
    <col min="3073" max="3073" width="4.28515625" style="151" customWidth="1"/>
    <col min="3074" max="3074" width="40.140625" style="151" customWidth="1"/>
    <col min="3075" max="3075" width="6.85546875" style="151" customWidth="1"/>
    <col min="3076" max="3076" width="40.85546875" style="151" customWidth="1"/>
    <col min="3077" max="3079" width="9.140625" style="151"/>
    <col min="3080" max="3080" width="0" style="151" hidden="1" customWidth="1"/>
    <col min="3081" max="3328" width="9.140625" style="151"/>
    <col min="3329" max="3329" width="4.28515625" style="151" customWidth="1"/>
    <col min="3330" max="3330" width="40.140625" style="151" customWidth="1"/>
    <col min="3331" max="3331" width="6.85546875" style="151" customWidth="1"/>
    <col min="3332" max="3332" width="40.85546875" style="151" customWidth="1"/>
    <col min="3333" max="3335" width="9.140625" style="151"/>
    <col min="3336" max="3336" width="0" style="151" hidden="1" customWidth="1"/>
    <col min="3337" max="3584" width="9.140625" style="151"/>
    <col min="3585" max="3585" width="4.28515625" style="151" customWidth="1"/>
    <col min="3586" max="3586" width="40.140625" style="151" customWidth="1"/>
    <col min="3587" max="3587" width="6.85546875" style="151" customWidth="1"/>
    <col min="3588" max="3588" width="40.85546875" style="151" customWidth="1"/>
    <col min="3589" max="3591" width="9.140625" style="151"/>
    <col min="3592" max="3592" width="0" style="151" hidden="1" customWidth="1"/>
    <col min="3593" max="3840" width="9.140625" style="151"/>
    <col min="3841" max="3841" width="4.28515625" style="151" customWidth="1"/>
    <col min="3842" max="3842" width="40.140625" style="151" customWidth="1"/>
    <col min="3843" max="3843" width="6.85546875" style="151" customWidth="1"/>
    <col min="3844" max="3844" width="40.85546875" style="151" customWidth="1"/>
    <col min="3845" max="3847" width="9.140625" style="151"/>
    <col min="3848" max="3848" width="0" style="151" hidden="1" customWidth="1"/>
    <col min="3849" max="4096" width="9.140625" style="151"/>
    <col min="4097" max="4097" width="4.28515625" style="151" customWidth="1"/>
    <col min="4098" max="4098" width="40.140625" style="151" customWidth="1"/>
    <col min="4099" max="4099" width="6.85546875" style="151" customWidth="1"/>
    <col min="4100" max="4100" width="40.85546875" style="151" customWidth="1"/>
    <col min="4101" max="4103" width="9.140625" style="151"/>
    <col min="4104" max="4104" width="0" style="151" hidden="1" customWidth="1"/>
    <col min="4105" max="4352" width="9.140625" style="151"/>
    <col min="4353" max="4353" width="4.28515625" style="151" customWidth="1"/>
    <col min="4354" max="4354" width="40.140625" style="151" customWidth="1"/>
    <col min="4355" max="4355" width="6.85546875" style="151" customWidth="1"/>
    <col min="4356" max="4356" width="40.85546875" style="151" customWidth="1"/>
    <col min="4357" max="4359" width="9.140625" style="151"/>
    <col min="4360" max="4360" width="0" style="151" hidden="1" customWidth="1"/>
    <col min="4361" max="4608" width="9.140625" style="151"/>
    <col min="4609" max="4609" width="4.28515625" style="151" customWidth="1"/>
    <col min="4610" max="4610" width="40.140625" style="151" customWidth="1"/>
    <col min="4611" max="4611" width="6.85546875" style="151" customWidth="1"/>
    <col min="4612" max="4612" width="40.85546875" style="151" customWidth="1"/>
    <col min="4613" max="4615" width="9.140625" style="151"/>
    <col min="4616" max="4616" width="0" style="151" hidden="1" customWidth="1"/>
    <col min="4617" max="4864" width="9.140625" style="151"/>
    <col min="4865" max="4865" width="4.28515625" style="151" customWidth="1"/>
    <col min="4866" max="4866" width="40.140625" style="151" customWidth="1"/>
    <col min="4867" max="4867" width="6.85546875" style="151" customWidth="1"/>
    <col min="4868" max="4868" width="40.85546875" style="151" customWidth="1"/>
    <col min="4869" max="4871" width="9.140625" style="151"/>
    <col min="4872" max="4872" width="0" style="151" hidden="1" customWidth="1"/>
    <col min="4873" max="5120" width="9.140625" style="151"/>
    <col min="5121" max="5121" width="4.28515625" style="151" customWidth="1"/>
    <col min="5122" max="5122" width="40.140625" style="151" customWidth="1"/>
    <col min="5123" max="5123" width="6.85546875" style="151" customWidth="1"/>
    <col min="5124" max="5124" width="40.85546875" style="151" customWidth="1"/>
    <col min="5125" max="5127" width="9.140625" style="151"/>
    <col min="5128" max="5128" width="0" style="151" hidden="1" customWidth="1"/>
    <col min="5129" max="5376" width="9.140625" style="151"/>
    <col min="5377" max="5377" width="4.28515625" style="151" customWidth="1"/>
    <col min="5378" max="5378" width="40.140625" style="151" customWidth="1"/>
    <col min="5379" max="5379" width="6.85546875" style="151" customWidth="1"/>
    <col min="5380" max="5380" width="40.85546875" style="151" customWidth="1"/>
    <col min="5381" max="5383" width="9.140625" style="151"/>
    <col min="5384" max="5384" width="0" style="151" hidden="1" customWidth="1"/>
    <col min="5385" max="5632" width="9.140625" style="151"/>
    <col min="5633" max="5633" width="4.28515625" style="151" customWidth="1"/>
    <col min="5634" max="5634" width="40.140625" style="151" customWidth="1"/>
    <col min="5635" max="5635" width="6.85546875" style="151" customWidth="1"/>
    <col min="5636" max="5636" width="40.85546875" style="151" customWidth="1"/>
    <col min="5637" max="5639" width="9.140625" style="151"/>
    <col min="5640" max="5640" width="0" style="151" hidden="1" customWidth="1"/>
    <col min="5641" max="5888" width="9.140625" style="151"/>
    <col min="5889" max="5889" width="4.28515625" style="151" customWidth="1"/>
    <col min="5890" max="5890" width="40.140625" style="151" customWidth="1"/>
    <col min="5891" max="5891" width="6.85546875" style="151" customWidth="1"/>
    <col min="5892" max="5892" width="40.85546875" style="151" customWidth="1"/>
    <col min="5893" max="5895" width="9.140625" style="151"/>
    <col min="5896" max="5896" width="0" style="151" hidden="1" customWidth="1"/>
    <col min="5897" max="6144" width="9.140625" style="151"/>
    <col min="6145" max="6145" width="4.28515625" style="151" customWidth="1"/>
    <col min="6146" max="6146" width="40.140625" style="151" customWidth="1"/>
    <col min="6147" max="6147" width="6.85546875" style="151" customWidth="1"/>
    <col min="6148" max="6148" width="40.85546875" style="151" customWidth="1"/>
    <col min="6149" max="6151" width="9.140625" style="151"/>
    <col min="6152" max="6152" width="0" style="151" hidden="1" customWidth="1"/>
    <col min="6153" max="6400" width="9.140625" style="151"/>
    <col min="6401" max="6401" width="4.28515625" style="151" customWidth="1"/>
    <col min="6402" max="6402" width="40.140625" style="151" customWidth="1"/>
    <col min="6403" max="6403" width="6.85546875" style="151" customWidth="1"/>
    <col min="6404" max="6404" width="40.85546875" style="151" customWidth="1"/>
    <col min="6405" max="6407" width="9.140625" style="151"/>
    <col min="6408" max="6408" width="0" style="151" hidden="1" customWidth="1"/>
    <col min="6409" max="6656" width="9.140625" style="151"/>
    <col min="6657" max="6657" width="4.28515625" style="151" customWidth="1"/>
    <col min="6658" max="6658" width="40.140625" style="151" customWidth="1"/>
    <col min="6659" max="6659" width="6.85546875" style="151" customWidth="1"/>
    <col min="6660" max="6660" width="40.85546875" style="151" customWidth="1"/>
    <col min="6661" max="6663" width="9.140625" style="151"/>
    <col min="6664" max="6664" width="0" style="151" hidden="1" customWidth="1"/>
    <col min="6665" max="6912" width="9.140625" style="151"/>
    <col min="6913" max="6913" width="4.28515625" style="151" customWidth="1"/>
    <col min="6914" max="6914" width="40.140625" style="151" customWidth="1"/>
    <col min="6915" max="6915" width="6.85546875" style="151" customWidth="1"/>
    <col min="6916" max="6916" width="40.85546875" style="151" customWidth="1"/>
    <col min="6917" max="6919" width="9.140625" style="151"/>
    <col min="6920" max="6920" width="0" style="151" hidden="1" customWidth="1"/>
    <col min="6921" max="7168" width="9.140625" style="151"/>
    <col min="7169" max="7169" width="4.28515625" style="151" customWidth="1"/>
    <col min="7170" max="7170" width="40.140625" style="151" customWidth="1"/>
    <col min="7171" max="7171" width="6.85546875" style="151" customWidth="1"/>
    <col min="7172" max="7172" width="40.85546875" style="151" customWidth="1"/>
    <col min="7173" max="7175" width="9.140625" style="151"/>
    <col min="7176" max="7176" width="0" style="151" hidden="1" customWidth="1"/>
    <col min="7177" max="7424" width="9.140625" style="151"/>
    <col min="7425" max="7425" width="4.28515625" style="151" customWidth="1"/>
    <col min="7426" max="7426" width="40.140625" style="151" customWidth="1"/>
    <col min="7427" max="7427" width="6.85546875" style="151" customWidth="1"/>
    <col min="7428" max="7428" width="40.85546875" style="151" customWidth="1"/>
    <col min="7429" max="7431" width="9.140625" style="151"/>
    <col min="7432" max="7432" width="0" style="151" hidden="1" customWidth="1"/>
    <col min="7433" max="7680" width="9.140625" style="151"/>
    <col min="7681" max="7681" width="4.28515625" style="151" customWidth="1"/>
    <col min="7682" max="7682" width="40.140625" style="151" customWidth="1"/>
    <col min="7683" max="7683" width="6.85546875" style="151" customWidth="1"/>
    <col min="7684" max="7684" width="40.85546875" style="151" customWidth="1"/>
    <col min="7685" max="7687" width="9.140625" style="151"/>
    <col min="7688" max="7688" width="0" style="151" hidden="1" customWidth="1"/>
    <col min="7689" max="7936" width="9.140625" style="151"/>
    <col min="7937" max="7937" width="4.28515625" style="151" customWidth="1"/>
    <col min="7938" max="7938" width="40.140625" style="151" customWidth="1"/>
    <col min="7939" max="7939" width="6.85546875" style="151" customWidth="1"/>
    <col min="7940" max="7940" width="40.85546875" style="151" customWidth="1"/>
    <col min="7941" max="7943" width="9.140625" style="151"/>
    <col min="7944" max="7944" width="0" style="151" hidden="1" customWidth="1"/>
    <col min="7945" max="8192" width="9.140625" style="151"/>
    <col min="8193" max="8193" width="4.28515625" style="151" customWidth="1"/>
    <col min="8194" max="8194" width="40.140625" style="151" customWidth="1"/>
    <col min="8195" max="8195" width="6.85546875" style="151" customWidth="1"/>
    <col min="8196" max="8196" width="40.85546875" style="151" customWidth="1"/>
    <col min="8197" max="8199" width="9.140625" style="151"/>
    <col min="8200" max="8200" width="0" style="151" hidden="1" customWidth="1"/>
    <col min="8201" max="8448" width="9.140625" style="151"/>
    <col min="8449" max="8449" width="4.28515625" style="151" customWidth="1"/>
    <col min="8450" max="8450" width="40.140625" style="151" customWidth="1"/>
    <col min="8451" max="8451" width="6.85546875" style="151" customWidth="1"/>
    <col min="8452" max="8452" width="40.85546875" style="151" customWidth="1"/>
    <col min="8453" max="8455" width="9.140625" style="151"/>
    <col min="8456" max="8456" width="0" style="151" hidden="1" customWidth="1"/>
    <col min="8457" max="8704" width="9.140625" style="151"/>
    <col min="8705" max="8705" width="4.28515625" style="151" customWidth="1"/>
    <col min="8706" max="8706" width="40.140625" style="151" customWidth="1"/>
    <col min="8707" max="8707" width="6.85546875" style="151" customWidth="1"/>
    <col min="8708" max="8708" width="40.85546875" style="151" customWidth="1"/>
    <col min="8709" max="8711" width="9.140625" style="151"/>
    <col min="8712" max="8712" width="0" style="151" hidden="1" customWidth="1"/>
    <col min="8713" max="8960" width="9.140625" style="151"/>
    <col min="8961" max="8961" width="4.28515625" style="151" customWidth="1"/>
    <col min="8962" max="8962" width="40.140625" style="151" customWidth="1"/>
    <col min="8963" max="8963" width="6.85546875" style="151" customWidth="1"/>
    <col min="8964" max="8964" width="40.85546875" style="151" customWidth="1"/>
    <col min="8965" max="8967" width="9.140625" style="151"/>
    <col min="8968" max="8968" width="0" style="151" hidden="1" customWidth="1"/>
    <col min="8969" max="9216" width="9.140625" style="151"/>
    <col min="9217" max="9217" width="4.28515625" style="151" customWidth="1"/>
    <col min="9218" max="9218" width="40.140625" style="151" customWidth="1"/>
    <col min="9219" max="9219" width="6.85546875" style="151" customWidth="1"/>
    <col min="9220" max="9220" width="40.85546875" style="151" customWidth="1"/>
    <col min="9221" max="9223" width="9.140625" style="151"/>
    <col min="9224" max="9224" width="0" style="151" hidden="1" customWidth="1"/>
    <col min="9225" max="9472" width="9.140625" style="151"/>
    <col min="9473" max="9473" width="4.28515625" style="151" customWidth="1"/>
    <col min="9474" max="9474" width="40.140625" style="151" customWidth="1"/>
    <col min="9475" max="9475" width="6.85546875" style="151" customWidth="1"/>
    <col min="9476" max="9476" width="40.85546875" style="151" customWidth="1"/>
    <col min="9477" max="9479" width="9.140625" style="151"/>
    <col min="9480" max="9480" width="0" style="151" hidden="1" customWidth="1"/>
    <col min="9481" max="9728" width="9.140625" style="151"/>
    <col min="9729" max="9729" width="4.28515625" style="151" customWidth="1"/>
    <col min="9730" max="9730" width="40.140625" style="151" customWidth="1"/>
    <col min="9731" max="9731" width="6.85546875" style="151" customWidth="1"/>
    <col min="9732" max="9732" width="40.85546875" style="151" customWidth="1"/>
    <col min="9733" max="9735" width="9.140625" style="151"/>
    <col min="9736" max="9736" width="0" style="151" hidden="1" customWidth="1"/>
    <col min="9737" max="9984" width="9.140625" style="151"/>
    <col min="9985" max="9985" width="4.28515625" style="151" customWidth="1"/>
    <col min="9986" max="9986" width="40.140625" style="151" customWidth="1"/>
    <col min="9987" max="9987" width="6.85546875" style="151" customWidth="1"/>
    <col min="9988" max="9988" width="40.85546875" style="151" customWidth="1"/>
    <col min="9989" max="9991" width="9.140625" style="151"/>
    <col min="9992" max="9992" width="0" style="151" hidden="1" customWidth="1"/>
    <col min="9993" max="10240" width="9.140625" style="151"/>
    <col min="10241" max="10241" width="4.28515625" style="151" customWidth="1"/>
    <col min="10242" max="10242" width="40.140625" style="151" customWidth="1"/>
    <col min="10243" max="10243" width="6.85546875" style="151" customWidth="1"/>
    <col min="10244" max="10244" width="40.85546875" style="151" customWidth="1"/>
    <col min="10245" max="10247" width="9.140625" style="151"/>
    <col min="10248" max="10248" width="0" style="151" hidden="1" customWidth="1"/>
    <col min="10249" max="10496" width="9.140625" style="151"/>
    <col min="10497" max="10497" width="4.28515625" style="151" customWidth="1"/>
    <col min="10498" max="10498" width="40.140625" style="151" customWidth="1"/>
    <col min="10499" max="10499" width="6.85546875" style="151" customWidth="1"/>
    <col min="10500" max="10500" width="40.85546875" style="151" customWidth="1"/>
    <col min="10501" max="10503" width="9.140625" style="151"/>
    <col min="10504" max="10504" width="0" style="151" hidden="1" customWidth="1"/>
    <col min="10505" max="10752" width="9.140625" style="151"/>
    <col min="10753" max="10753" width="4.28515625" style="151" customWidth="1"/>
    <col min="10754" max="10754" width="40.140625" style="151" customWidth="1"/>
    <col min="10755" max="10755" width="6.85546875" style="151" customWidth="1"/>
    <col min="10756" max="10756" width="40.85546875" style="151" customWidth="1"/>
    <col min="10757" max="10759" width="9.140625" style="151"/>
    <col min="10760" max="10760" width="0" style="151" hidden="1" customWidth="1"/>
    <col min="10761" max="11008" width="9.140625" style="151"/>
    <col min="11009" max="11009" width="4.28515625" style="151" customWidth="1"/>
    <col min="11010" max="11010" width="40.140625" style="151" customWidth="1"/>
    <col min="11011" max="11011" width="6.85546875" style="151" customWidth="1"/>
    <col min="11012" max="11012" width="40.85546875" style="151" customWidth="1"/>
    <col min="11013" max="11015" width="9.140625" style="151"/>
    <col min="11016" max="11016" width="0" style="151" hidden="1" customWidth="1"/>
    <col min="11017" max="11264" width="9.140625" style="151"/>
    <col min="11265" max="11265" width="4.28515625" style="151" customWidth="1"/>
    <col min="11266" max="11266" width="40.140625" style="151" customWidth="1"/>
    <col min="11267" max="11267" width="6.85546875" style="151" customWidth="1"/>
    <col min="11268" max="11268" width="40.85546875" style="151" customWidth="1"/>
    <col min="11269" max="11271" width="9.140625" style="151"/>
    <col min="11272" max="11272" width="0" style="151" hidden="1" customWidth="1"/>
    <col min="11273" max="11520" width="9.140625" style="151"/>
    <col min="11521" max="11521" width="4.28515625" style="151" customWidth="1"/>
    <col min="11522" max="11522" width="40.140625" style="151" customWidth="1"/>
    <col min="11523" max="11523" width="6.85546875" style="151" customWidth="1"/>
    <col min="11524" max="11524" width="40.85546875" style="151" customWidth="1"/>
    <col min="11525" max="11527" width="9.140625" style="151"/>
    <col min="11528" max="11528" width="0" style="151" hidden="1" customWidth="1"/>
    <col min="11529" max="11776" width="9.140625" style="151"/>
    <col min="11777" max="11777" width="4.28515625" style="151" customWidth="1"/>
    <col min="11778" max="11778" width="40.140625" style="151" customWidth="1"/>
    <col min="11779" max="11779" width="6.85546875" style="151" customWidth="1"/>
    <col min="11780" max="11780" width="40.85546875" style="151" customWidth="1"/>
    <col min="11781" max="11783" width="9.140625" style="151"/>
    <col min="11784" max="11784" width="0" style="151" hidden="1" customWidth="1"/>
    <col min="11785" max="12032" width="9.140625" style="151"/>
    <col min="12033" max="12033" width="4.28515625" style="151" customWidth="1"/>
    <col min="12034" max="12034" width="40.140625" style="151" customWidth="1"/>
    <col min="12035" max="12035" width="6.85546875" style="151" customWidth="1"/>
    <col min="12036" max="12036" width="40.85546875" style="151" customWidth="1"/>
    <col min="12037" max="12039" width="9.140625" style="151"/>
    <col min="12040" max="12040" width="0" style="151" hidden="1" customWidth="1"/>
    <col min="12041" max="12288" width="9.140625" style="151"/>
    <col min="12289" max="12289" width="4.28515625" style="151" customWidth="1"/>
    <col min="12290" max="12290" width="40.140625" style="151" customWidth="1"/>
    <col min="12291" max="12291" width="6.85546875" style="151" customWidth="1"/>
    <col min="12292" max="12292" width="40.85546875" style="151" customWidth="1"/>
    <col min="12293" max="12295" width="9.140625" style="151"/>
    <col min="12296" max="12296" width="0" style="151" hidden="1" customWidth="1"/>
    <col min="12297" max="12544" width="9.140625" style="151"/>
    <col min="12545" max="12545" width="4.28515625" style="151" customWidth="1"/>
    <col min="12546" max="12546" width="40.140625" style="151" customWidth="1"/>
    <col min="12547" max="12547" width="6.85546875" style="151" customWidth="1"/>
    <col min="12548" max="12548" width="40.85546875" style="151" customWidth="1"/>
    <col min="12549" max="12551" width="9.140625" style="151"/>
    <col min="12552" max="12552" width="0" style="151" hidden="1" customWidth="1"/>
    <col min="12553" max="12800" width="9.140625" style="151"/>
    <col min="12801" max="12801" width="4.28515625" style="151" customWidth="1"/>
    <col min="12802" max="12802" width="40.140625" style="151" customWidth="1"/>
    <col min="12803" max="12803" width="6.85546875" style="151" customWidth="1"/>
    <col min="12804" max="12804" width="40.85546875" style="151" customWidth="1"/>
    <col min="12805" max="12807" width="9.140625" style="151"/>
    <col min="12808" max="12808" width="0" style="151" hidden="1" customWidth="1"/>
    <col min="12809" max="13056" width="9.140625" style="151"/>
    <col min="13057" max="13057" width="4.28515625" style="151" customWidth="1"/>
    <col min="13058" max="13058" width="40.140625" style="151" customWidth="1"/>
    <col min="13059" max="13059" width="6.85546875" style="151" customWidth="1"/>
    <col min="13060" max="13060" width="40.85546875" style="151" customWidth="1"/>
    <col min="13061" max="13063" width="9.140625" style="151"/>
    <col min="13064" max="13064" width="0" style="151" hidden="1" customWidth="1"/>
    <col min="13065" max="13312" width="9.140625" style="151"/>
    <col min="13313" max="13313" width="4.28515625" style="151" customWidth="1"/>
    <col min="13314" max="13314" width="40.140625" style="151" customWidth="1"/>
    <col min="13315" max="13315" width="6.85546875" style="151" customWidth="1"/>
    <col min="13316" max="13316" width="40.85546875" style="151" customWidth="1"/>
    <col min="13317" max="13319" width="9.140625" style="151"/>
    <col min="13320" max="13320" width="0" style="151" hidden="1" customWidth="1"/>
    <col min="13321" max="13568" width="9.140625" style="151"/>
    <col min="13569" max="13569" width="4.28515625" style="151" customWidth="1"/>
    <col min="13570" max="13570" width="40.140625" style="151" customWidth="1"/>
    <col min="13571" max="13571" width="6.85546875" style="151" customWidth="1"/>
    <col min="13572" max="13572" width="40.85546875" style="151" customWidth="1"/>
    <col min="13573" max="13575" width="9.140625" style="151"/>
    <col min="13576" max="13576" width="0" style="151" hidden="1" customWidth="1"/>
    <col min="13577" max="13824" width="9.140625" style="151"/>
    <col min="13825" max="13825" width="4.28515625" style="151" customWidth="1"/>
    <col min="13826" max="13826" width="40.140625" style="151" customWidth="1"/>
    <col min="13827" max="13827" width="6.85546875" style="151" customWidth="1"/>
    <col min="13828" max="13828" width="40.85546875" style="151" customWidth="1"/>
    <col min="13829" max="13831" width="9.140625" style="151"/>
    <col min="13832" max="13832" width="0" style="151" hidden="1" customWidth="1"/>
    <col min="13833" max="14080" width="9.140625" style="151"/>
    <col min="14081" max="14081" width="4.28515625" style="151" customWidth="1"/>
    <col min="14082" max="14082" width="40.140625" style="151" customWidth="1"/>
    <col min="14083" max="14083" width="6.85546875" style="151" customWidth="1"/>
    <col min="14084" max="14084" width="40.85546875" style="151" customWidth="1"/>
    <col min="14085" max="14087" width="9.140625" style="151"/>
    <col min="14088" max="14088" width="0" style="151" hidden="1" customWidth="1"/>
    <col min="14089" max="14336" width="9.140625" style="151"/>
    <col min="14337" max="14337" width="4.28515625" style="151" customWidth="1"/>
    <col min="14338" max="14338" width="40.140625" style="151" customWidth="1"/>
    <col min="14339" max="14339" width="6.85546875" style="151" customWidth="1"/>
    <col min="14340" max="14340" width="40.85546875" style="151" customWidth="1"/>
    <col min="14341" max="14343" width="9.140625" style="151"/>
    <col min="14344" max="14344" width="0" style="151" hidden="1" customWidth="1"/>
    <col min="14345" max="14592" width="9.140625" style="151"/>
    <col min="14593" max="14593" width="4.28515625" style="151" customWidth="1"/>
    <col min="14594" max="14594" width="40.140625" style="151" customWidth="1"/>
    <col min="14595" max="14595" width="6.85546875" style="151" customWidth="1"/>
    <col min="14596" max="14596" width="40.85546875" style="151" customWidth="1"/>
    <col min="14597" max="14599" width="9.140625" style="151"/>
    <col min="14600" max="14600" width="0" style="151" hidden="1" customWidth="1"/>
    <col min="14601" max="14848" width="9.140625" style="151"/>
    <col min="14849" max="14849" width="4.28515625" style="151" customWidth="1"/>
    <col min="14850" max="14850" width="40.140625" style="151" customWidth="1"/>
    <col min="14851" max="14851" width="6.85546875" style="151" customWidth="1"/>
    <col min="14852" max="14852" width="40.85546875" style="151" customWidth="1"/>
    <col min="14853" max="14855" width="9.140625" style="151"/>
    <col min="14856" max="14856" width="0" style="151" hidden="1" customWidth="1"/>
    <col min="14857" max="15104" width="9.140625" style="151"/>
    <col min="15105" max="15105" width="4.28515625" style="151" customWidth="1"/>
    <col min="15106" max="15106" width="40.140625" style="151" customWidth="1"/>
    <col min="15107" max="15107" width="6.85546875" style="151" customWidth="1"/>
    <col min="15108" max="15108" width="40.85546875" style="151" customWidth="1"/>
    <col min="15109" max="15111" width="9.140625" style="151"/>
    <col min="15112" max="15112" width="0" style="151" hidden="1" customWidth="1"/>
    <col min="15113" max="15360" width="9.140625" style="151"/>
    <col min="15361" max="15361" width="4.28515625" style="151" customWidth="1"/>
    <col min="15362" max="15362" width="40.140625" style="151" customWidth="1"/>
    <col min="15363" max="15363" width="6.85546875" style="151" customWidth="1"/>
    <col min="15364" max="15364" width="40.85546875" style="151" customWidth="1"/>
    <col min="15365" max="15367" width="9.140625" style="151"/>
    <col min="15368" max="15368" width="0" style="151" hidden="1" customWidth="1"/>
    <col min="15369" max="15616" width="9.140625" style="151"/>
    <col min="15617" max="15617" width="4.28515625" style="151" customWidth="1"/>
    <col min="15618" max="15618" width="40.140625" style="151" customWidth="1"/>
    <col min="15619" max="15619" width="6.85546875" style="151" customWidth="1"/>
    <col min="15620" max="15620" width="40.85546875" style="151" customWidth="1"/>
    <col min="15621" max="15623" width="9.140625" style="151"/>
    <col min="15624" max="15624" width="0" style="151" hidden="1" customWidth="1"/>
    <col min="15625" max="15872" width="9.140625" style="151"/>
    <col min="15873" max="15873" width="4.28515625" style="151" customWidth="1"/>
    <col min="15874" max="15874" width="40.140625" style="151" customWidth="1"/>
    <col min="15875" max="15875" width="6.85546875" style="151" customWidth="1"/>
    <col min="15876" max="15876" width="40.85546875" style="151" customWidth="1"/>
    <col min="15877" max="15879" width="9.140625" style="151"/>
    <col min="15880" max="15880" width="0" style="151" hidden="1" customWidth="1"/>
    <col min="15881" max="16128" width="9.140625" style="151"/>
    <col min="16129" max="16129" width="4.28515625" style="151" customWidth="1"/>
    <col min="16130" max="16130" width="40.140625" style="151" customWidth="1"/>
    <col min="16131" max="16131" width="6.85546875" style="151" customWidth="1"/>
    <col min="16132" max="16132" width="40.85546875" style="151" customWidth="1"/>
    <col min="16133" max="16135" width="9.140625" style="151"/>
    <col min="16136" max="16136" width="0" style="151" hidden="1" customWidth="1"/>
    <col min="16137" max="16384" width="9.140625" style="151"/>
  </cols>
  <sheetData>
    <row r="1" spans="1:8" x14ac:dyDescent="0.2">
      <c r="A1" s="149" t="s">
        <v>798</v>
      </c>
    </row>
    <row r="2" spans="1:8" ht="48" customHeight="1" x14ac:dyDescent="0.2">
      <c r="A2" s="1055" t="s">
        <v>570</v>
      </c>
      <c r="B2" s="1055"/>
      <c r="C2" s="1055"/>
      <c r="D2" s="1055"/>
    </row>
    <row r="3" spans="1:8" ht="5.25" customHeight="1" x14ac:dyDescent="0.2"/>
    <row r="4" spans="1:8" x14ac:dyDescent="0.2">
      <c r="A4" s="152" t="s">
        <v>571</v>
      </c>
      <c r="B4" s="152"/>
    </row>
    <row r="5" spans="1:8" ht="5.25" customHeight="1" x14ac:dyDescent="0.2">
      <c r="H5" s="151" t="s">
        <v>572</v>
      </c>
    </row>
    <row r="6" spans="1:8" x14ac:dyDescent="0.2">
      <c r="B6" s="153" t="s">
        <v>573</v>
      </c>
      <c r="C6" s="149" t="s">
        <v>574</v>
      </c>
      <c r="D6" s="149" t="s">
        <v>575</v>
      </c>
      <c r="H6" s="151" t="s">
        <v>576</v>
      </c>
    </row>
    <row r="7" spans="1:8" ht="43.5" customHeight="1" x14ac:dyDescent="0.2">
      <c r="A7" s="812">
        <v>1</v>
      </c>
      <c r="B7" s="154" t="s">
        <v>577</v>
      </c>
      <c r="C7" s="254"/>
      <c r="D7" s="255"/>
    </row>
    <row r="8" spans="1:8" ht="25.5" x14ac:dyDescent="0.2">
      <c r="A8" s="812">
        <v>2</v>
      </c>
      <c r="B8" s="154" t="s">
        <v>578</v>
      </c>
      <c r="C8" s="254"/>
      <c r="D8" s="255"/>
    </row>
    <row r="9" spans="1:8" ht="43.5" customHeight="1" x14ac:dyDescent="0.2">
      <c r="A9" s="812">
        <v>3</v>
      </c>
      <c r="B9" s="154" t="s">
        <v>579</v>
      </c>
      <c r="C9" s="254"/>
      <c r="D9" s="255"/>
    </row>
    <row r="10" spans="1:8" ht="67.5" customHeight="1" x14ac:dyDescent="0.2">
      <c r="A10" s="812">
        <v>4</v>
      </c>
      <c r="B10" s="154" t="s">
        <v>580</v>
      </c>
      <c r="C10" s="254"/>
      <c r="D10" s="255"/>
    </row>
    <row r="11" spans="1:8" ht="63.75" x14ac:dyDescent="0.2">
      <c r="A11" s="812">
        <v>5</v>
      </c>
      <c r="B11" s="154" t="s">
        <v>581</v>
      </c>
      <c r="C11" s="254"/>
      <c r="D11" s="255"/>
    </row>
    <row r="12" spans="1:8" ht="63.75" x14ac:dyDescent="0.2">
      <c r="A12" s="812">
        <v>6</v>
      </c>
      <c r="B12" s="154" t="s">
        <v>582</v>
      </c>
      <c r="C12" s="254"/>
      <c r="D12" s="255"/>
    </row>
    <row r="13" spans="1:8" ht="6" customHeight="1" x14ac:dyDescent="0.2">
      <c r="A13" s="813"/>
      <c r="C13" s="256"/>
      <c r="D13" s="256"/>
    </row>
    <row r="14" spans="1:8" x14ac:dyDescent="0.2">
      <c r="A14" s="813"/>
      <c r="B14" s="153" t="s">
        <v>583</v>
      </c>
      <c r="C14" s="256"/>
      <c r="D14" s="256"/>
    </row>
    <row r="15" spans="1:8" ht="52.5" customHeight="1" x14ac:dyDescent="0.2">
      <c r="A15" s="812">
        <v>7</v>
      </c>
      <c r="B15" s="154" t="s">
        <v>584</v>
      </c>
      <c r="C15" s="254"/>
      <c r="D15" s="255"/>
    </row>
    <row r="16" spans="1:8" ht="38.25" x14ac:dyDescent="0.2">
      <c r="A16" s="812">
        <v>8</v>
      </c>
      <c r="B16" s="154" t="s">
        <v>585</v>
      </c>
      <c r="C16" s="254"/>
      <c r="D16" s="255"/>
    </row>
    <row r="17" spans="1:8" ht="51" x14ac:dyDescent="0.2">
      <c r="A17" s="812">
        <v>9</v>
      </c>
      <c r="B17" s="154" t="s">
        <v>586</v>
      </c>
      <c r="C17" s="254"/>
      <c r="D17" s="255"/>
    </row>
    <row r="18" spans="1:8" ht="51" x14ac:dyDescent="0.2">
      <c r="A18" s="812">
        <v>10</v>
      </c>
      <c r="B18" s="154" t="s">
        <v>587</v>
      </c>
      <c r="C18" s="254"/>
      <c r="D18" s="255"/>
    </row>
    <row r="19" spans="1:8" ht="38.25" x14ac:dyDescent="0.2">
      <c r="A19" s="812">
        <v>11</v>
      </c>
      <c r="B19" s="154" t="s">
        <v>588</v>
      </c>
      <c r="C19" s="254"/>
      <c r="D19" s="255"/>
    </row>
    <row r="20" spans="1:8" ht="76.5" x14ac:dyDescent="0.2">
      <c r="A20" s="812">
        <v>12</v>
      </c>
      <c r="B20" s="154" t="s">
        <v>589</v>
      </c>
      <c r="C20" s="254"/>
      <c r="D20" s="255"/>
    </row>
    <row r="21" spans="1:8" ht="3" customHeight="1" x14ac:dyDescent="0.2">
      <c r="A21" s="814"/>
      <c r="C21" s="256"/>
      <c r="D21" s="256"/>
    </row>
    <row r="22" spans="1:8" x14ac:dyDescent="0.2">
      <c r="A22" s="815"/>
      <c r="B22" s="154" t="s">
        <v>590</v>
      </c>
      <c r="C22" s="1056"/>
      <c r="D22" s="1057"/>
      <c r="H22" s="151" t="s">
        <v>591</v>
      </c>
    </row>
    <row r="23" spans="1:8" s="155" customFormat="1" ht="11.25" x14ac:dyDescent="0.2">
      <c r="A23" s="816" t="s">
        <v>592</v>
      </c>
      <c r="B23" s="156"/>
      <c r="H23" s="155" t="s">
        <v>593</v>
      </c>
    </row>
    <row r="24" spans="1:8" s="155" customFormat="1" ht="11.25" x14ac:dyDescent="0.2">
      <c r="A24" s="816" t="s">
        <v>594</v>
      </c>
      <c r="B24" s="156"/>
    </row>
    <row r="25" spans="1:8" s="155" customFormat="1" ht="11.25" x14ac:dyDescent="0.2">
      <c r="A25" s="816" t="s">
        <v>595</v>
      </c>
      <c r="B25" s="156"/>
    </row>
    <row r="26" spans="1:8" s="155" customFormat="1" ht="11.25" x14ac:dyDescent="0.2">
      <c r="A26" s="816" t="s">
        <v>596</v>
      </c>
      <c r="B26" s="156"/>
    </row>
    <row r="27" spans="1:8" s="155" customFormat="1" ht="11.25" x14ac:dyDescent="0.2">
      <c r="A27" s="816" t="s">
        <v>597</v>
      </c>
      <c r="B27" s="156"/>
    </row>
    <row r="28" spans="1:8" s="155" customFormat="1" ht="11.25" x14ac:dyDescent="0.2">
      <c r="A28" s="155" t="s">
        <v>598</v>
      </c>
      <c r="B28" s="156"/>
    </row>
  </sheetData>
  <sheetProtection sheet="1" objects="1" scenarios="1"/>
  <mergeCells count="2">
    <mergeCell ref="A2:D2"/>
    <mergeCell ref="C22:D22"/>
  </mergeCells>
  <dataValidations count="2">
    <dataValidation type="list"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formula1>$H$22:$H$23</formula1>
    </dataValidation>
    <dataValidation type="list" allowBlank="1" showInputMessage="1" showErrorMessage="1" sqref="C15:C20 IY15:IY20 SU15:SU20 ACQ15:ACQ20 AMM15:AMM20 AWI15:AWI20 BGE15:BGE20 BQA15:BQA20 BZW15:BZW20 CJS15:CJS20 CTO15:CTO20 DDK15:DDK20 DNG15:DNG20 DXC15:DXC20 EGY15:EGY20 EQU15:EQU20 FAQ15:FAQ20 FKM15:FKM20 FUI15:FUI20 GEE15:GEE20 GOA15:GOA20 GXW15:GXW20 HHS15:HHS20 HRO15:HRO20 IBK15:IBK20 ILG15:ILG20 IVC15:IVC20 JEY15:JEY20 JOU15:JOU20 JYQ15:JYQ20 KIM15:KIM20 KSI15:KSI20 LCE15:LCE20 LMA15:LMA20 LVW15:LVW20 MFS15:MFS20 MPO15:MPO20 MZK15:MZK20 NJG15:NJG20 NTC15:NTC20 OCY15:OCY20 OMU15:OMU20 OWQ15:OWQ20 PGM15:PGM20 PQI15:PQI20 QAE15:QAE20 QKA15:QKA20 QTW15:QTW20 RDS15:RDS20 RNO15:RNO20 RXK15:RXK20 SHG15:SHG20 SRC15:SRC20 TAY15:TAY20 TKU15:TKU20 TUQ15:TUQ20 UEM15:UEM20 UOI15:UOI20 UYE15:UYE20 VIA15:VIA20 VRW15:VRW20 WBS15:WBS20 WLO15:WLO20 WVK15:WVK20 C65551:C65556 IY65551:IY65556 SU65551:SU65556 ACQ65551:ACQ65556 AMM65551:AMM65556 AWI65551:AWI65556 BGE65551:BGE65556 BQA65551:BQA65556 BZW65551:BZW65556 CJS65551:CJS65556 CTO65551:CTO65556 DDK65551:DDK65556 DNG65551:DNG65556 DXC65551:DXC65556 EGY65551:EGY65556 EQU65551:EQU65556 FAQ65551:FAQ65556 FKM65551:FKM65556 FUI65551:FUI65556 GEE65551:GEE65556 GOA65551:GOA65556 GXW65551:GXW65556 HHS65551:HHS65556 HRO65551:HRO65556 IBK65551:IBK65556 ILG65551:ILG65556 IVC65551:IVC65556 JEY65551:JEY65556 JOU65551:JOU65556 JYQ65551:JYQ65556 KIM65551:KIM65556 KSI65551:KSI65556 LCE65551:LCE65556 LMA65551:LMA65556 LVW65551:LVW65556 MFS65551:MFS65556 MPO65551:MPO65556 MZK65551:MZK65556 NJG65551:NJG65556 NTC65551:NTC65556 OCY65551:OCY65556 OMU65551:OMU65556 OWQ65551:OWQ65556 PGM65551:PGM65556 PQI65551:PQI65556 QAE65551:QAE65556 QKA65551:QKA65556 QTW65551:QTW65556 RDS65551:RDS65556 RNO65551:RNO65556 RXK65551:RXK65556 SHG65551:SHG65556 SRC65551:SRC65556 TAY65551:TAY65556 TKU65551:TKU65556 TUQ65551:TUQ65556 UEM65551:UEM65556 UOI65551:UOI65556 UYE65551:UYE65556 VIA65551:VIA65556 VRW65551:VRW65556 WBS65551:WBS65556 WLO65551:WLO65556 WVK65551:WVK65556 C131087:C131092 IY131087:IY131092 SU131087:SU131092 ACQ131087:ACQ131092 AMM131087:AMM131092 AWI131087:AWI131092 BGE131087:BGE131092 BQA131087:BQA131092 BZW131087:BZW131092 CJS131087:CJS131092 CTO131087:CTO131092 DDK131087:DDK131092 DNG131087:DNG131092 DXC131087:DXC131092 EGY131087:EGY131092 EQU131087:EQU131092 FAQ131087:FAQ131092 FKM131087:FKM131092 FUI131087:FUI131092 GEE131087:GEE131092 GOA131087:GOA131092 GXW131087:GXW131092 HHS131087:HHS131092 HRO131087:HRO131092 IBK131087:IBK131092 ILG131087:ILG131092 IVC131087:IVC131092 JEY131087:JEY131092 JOU131087:JOU131092 JYQ131087:JYQ131092 KIM131087:KIM131092 KSI131087:KSI131092 LCE131087:LCE131092 LMA131087:LMA131092 LVW131087:LVW131092 MFS131087:MFS131092 MPO131087:MPO131092 MZK131087:MZK131092 NJG131087:NJG131092 NTC131087:NTC131092 OCY131087:OCY131092 OMU131087:OMU131092 OWQ131087:OWQ131092 PGM131087:PGM131092 PQI131087:PQI131092 QAE131087:QAE131092 QKA131087:QKA131092 QTW131087:QTW131092 RDS131087:RDS131092 RNO131087:RNO131092 RXK131087:RXK131092 SHG131087:SHG131092 SRC131087:SRC131092 TAY131087:TAY131092 TKU131087:TKU131092 TUQ131087:TUQ131092 UEM131087:UEM131092 UOI131087:UOI131092 UYE131087:UYE131092 VIA131087:VIA131092 VRW131087:VRW131092 WBS131087:WBS131092 WLO131087:WLO131092 WVK131087:WVK131092 C196623:C196628 IY196623:IY196628 SU196623:SU196628 ACQ196623:ACQ196628 AMM196623:AMM196628 AWI196623:AWI196628 BGE196623:BGE196628 BQA196623:BQA196628 BZW196623:BZW196628 CJS196623:CJS196628 CTO196623:CTO196628 DDK196623:DDK196628 DNG196623:DNG196628 DXC196623:DXC196628 EGY196623:EGY196628 EQU196623:EQU196628 FAQ196623:FAQ196628 FKM196623:FKM196628 FUI196623:FUI196628 GEE196623:GEE196628 GOA196623:GOA196628 GXW196623:GXW196628 HHS196623:HHS196628 HRO196623:HRO196628 IBK196623:IBK196628 ILG196623:ILG196628 IVC196623:IVC196628 JEY196623:JEY196628 JOU196623:JOU196628 JYQ196623:JYQ196628 KIM196623:KIM196628 KSI196623:KSI196628 LCE196623:LCE196628 LMA196623:LMA196628 LVW196623:LVW196628 MFS196623:MFS196628 MPO196623:MPO196628 MZK196623:MZK196628 NJG196623:NJG196628 NTC196623:NTC196628 OCY196623:OCY196628 OMU196623:OMU196628 OWQ196623:OWQ196628 PGM196623:PGM196628 PQI196623:PQI196628 QAE196623:QAE196628 QKA196623:QKA196628 QTW196623:QTW196628 RDS196623:RDS196628 RNO196623:RNO196628 RXK196623:RXK196628 SHG196623:SHG196628 SRC196623:SRC196628 TAY196623:TAY196628 TKU196623:TKU196628 TUQ196623:TUQ196628 UEM196623:UEM196628 UOI196623:UOI196628 UYE196623:UYE196628 VIA196623:VIA196628 VRW196623:VRW196628 WBS196623:WBS196628 WLO196623:WLO196628 WVK196623:WVK196628 C262159:C262164 IY262159:IY262164 SU262159:SU262164 ACQ262159:ACQ262164 AMM262159:AMM262164 AWI262159:AWI262164 BGE262159:BGE262164 BQA262159:BQA262164 BZW262159:BZW262164 CJS262159:CJS262164 CTO262159:CTO262164 DDK262159:DDK262164 DNG262159:DNG262164 DXC262159:DXC262164 EGY262159:EGY262164 EQU262159:EQU262164 FAQ262159:FAQ262164 FKM262159:FKM262164 FUI262159:FUI262164 GEE262159:GEE262164 GOA262159:GOA262164 GXW262159:GXW262164 HHS262159:HHS262164 HRO262159:HRO262164 IBK262159:IBK262164 ILG262159:ILG262164 IVC262159:IVC262164 JEY262159:JEY262164 JOU262159:JOU262164 JYQ262159:JYQ262164 KIM262159:KIM262164 KSI262159:KSI262164 LCE262159:LCE262164 LMA262159:LMA262164 LVW262159:LVW262164 MFS262159:MFS262164 MPO262159:MPO262164 MZK262159:MZK262164 NJG262159:NJG262164 NTC262159:NTC262164 OCY262159:OCY262164 OMU262159:OMU262164 OWQ262159:OWQ262164 PGM262159:PGM262164 PQI262159:PQI262164 QAE262159:QAE262164 QKA262159:QKA262164 QTW262159:QTW262164 RDS262159:RDS262164 RNO262159:RNO262164 RXK262159:RXK262164 SHG262159:SHG262164 SRC262159:SRC262164 TAY262159:TAY262164 TKU262159:TKU262164 TUQ262159:TUQ262164 UEM262159:UEM262164 UOI262159:UOI262164 UYE262159:UYE262164 VIA262159:VIA262164 VRW262159:VRW262164 WBS262159:WBS262164 WLO262159:WLO262164 WVK262159:WVK262164 C327695:C327700 IY327695:IY327700 SU327695:SU327700 ACQ327695:ACQ327700 AMM327695:AMM327700 AWI327695:AWI327700 BGE327695:BGE327700 BQA327695:BQA327700 BZW327695:BZW327700 CJS327695:CJS327700 CTO327695:CTO327700 DDK327695:DDK327700 DNG327695:DNG327700 DXC327695:DXC327700 EGY327695:EGY327700 EQU327695:EQU327700 FAQ327695:FAQ327700 FKM327695:FKM327700 FUI327695:FUI327700 GEE327695:GEE327700 GOA327695:GOA327700 GXW327695:GXW327700 HHS327695:HHS327700 HRO327695:HRO327700 IBK327695:IBK327700 ILG327695:ILG327700 IVC327695:IVC327700 JEY327695:JEY327700 JOU327695:JOU327700 JYQ327695:JYQ327700 KIM327695:KIM327700 KSI327695:KSI327700 LCE327695:LCE327700 LMA327695:LMA327700 LVW327695:LVW327700 MFS327695:MFS327700 MPO327695:MPO327700 MZK327695:MZK327700 NJG327695:NJG327700 NTC327695:NTC327700 OCY327695:OCY327700 OMU327695:OMU327700 OWQ327695:OWQ327700 PGM327695:PGM327700 PQI327695:PQI327700 QAE327695:QAE327700 QKA327695:QKA327700 QTW327695:QTW327700 RDS327695:RDS327700 RNO327695:RNO327700 RXK327695:RXK327700 SHG327695:SHG327700 SRC327695:SRC327700 TAY327695:TAY327700 TKU327695:TKU327700 TUQ327695:TUQ327700 UEM327695:UEM327700 UOI327695:UOI327700 UYE327695:UYE327700 VIA327695:VIA327700 VRW327695:VRW327700 WBS327695:WBS327700 WLO327695:WLO327700 WVK327695:WVK327700 C393231:C393236 IY393231:IY393236 SU393231:SU393236 ACQ393231:ACQ393236 AMM393231:AMM393236 AWI393231:AWI393236 BGE393231:BGE393236 BQA393231:BQA393236 BZW393231:BZW393236 CJS393231:CJS393236 CTO393231:CTO393236 DDK393231:DDK393236 DNG393231:DNG393236 DXC393231:DXC393236 EGY393231:EGY393236 EQU393231:EQU393236 FAQ393231:FAQ393236 FKM393231:FKM393236 FUI393231:FUI393236 GEE393231:GEE393236 GOA393231:GOA393236 GXW393231:GXW393236 HHS393231:HHS393236 HRO393231:HRO393236 IBK393231:IBK393236 ILG393231:ILG393236 IVC393231:IVC393236 JEY393231:JEY393236 JOU393231:JOU393236 JYQ393231:JYQ393236 KIM393231:KIM393236 KSI393231:KSI393236 LCE393231:LCE393236 LMA393231:LMA393236 LVW393231:LVW393236 MFS393231:MFS393236 MPO393231:MPO393236 MZK393231:MZK393236 NJG393231:NJG393236 NTC393231:NTC393236 OCY393231:OCY393236 OMU393231:OMU393236 OWQ393231:OWQ393236 PGM393231:PGM393236 PQI393231:PQI393236 QAE393231:QAE393236 QKA393231:QKA393236 QTW393231:QTW393236 RDS393231:RDS393236 RNO393231:RNO393236 RXK393231:RXK393236 SHG393231:SHG393236 SRC393231:SRC393236 TAY393231:TAY393236 TKU393231:TKU393236 TUQ393231:TUQ393236 UEM393231:UEM393236 UOI393231:UOI393236 UYE393231:UYE393236 VIA393231:VIA393236 VRW393231:VRW393236 WBS393231:WBS393236 WLO393231:WLO393236 WVK393231:WVK393236 C458767:C458772 IY458767:IY458772 SU458767:SU458772 ACQ458767:ACQ458772 AMM458767:AMM458772 AWI458767:AWI458772 BGE458767:BGE458772 BQA458767:BQA458772 BZW458767:BZW458772 CJS458767:CJS458772 CTO458767:CTO458772 DDK458767:DDK458772 DNG458767:DNG458772 DXC458767:DXC458772 EGY458767:EGY458772 EQU458767:EQU458772 FAQ458767:FAQ458772 FKM458767:FKM458772 FUI458767:FUI458772 GEE458767:GEE458772 GOA458767:GOA458772 GXW458767:GXW458772 HHS458767:HHS458772 HRO458767:HRO458772 IBK458767:IBK458772 ILG458767:ILG458772 IVC458767:IVC458772 JEY458767:JEY458772 JOU458767:JOU458772 JYQ458767:JYQ458772 KIM458767:KIM458772 KSI458767:KSI458772 LCE458767:LCE458772 LMA458767:LMA458772 LVW458767:LVW458772 MFS458767:MFS458772 MPO458767:MPO458772 MZK458767:MZK458772 NJG458767:NJG458772 NTC458767:NTC458772 OCY458767:OCY458772 OMU458767:OMU458772 OWQ458767:OWQ458772 PGM458767:PGM458772 PQI458767:PQI458772 QAE458767:QAE458772 QKA458767:QKA458772 QTW458767:QTW458772 RDS458767:RDS458772 RNO458767:RNO458772 RXK458767:RXK458772 SHG458767:SHG458772 SRC458767:SRC458772 TAY458767:TAY458772 TKU458767:TKU458772 TUQ458767:TUQ458772 UEM458767:UEM458772 UOI458767:UOI458772 UYE458767:UYE458772 VIA458767:VIA458772 VRW458767:VRW458772 WBS458767:WBS458772 WLO458767:WLO458772 WVK458767:WVK458772 C524303:C524308 IY524303:IY524308 SU524303:SU524308 ACQ524303:ACQ524308 AMM524303:AMM524308 AWI524303:AWI524308 BGE524303:BGE524308 BQA524303:BQA524308 BZW524303:BZW524308 CJS524303:CJS524308 CTO524303:CTO524308 DDK524303:DDK524308 DNG524303:DNG524308 DXC524303:DXC524308 EGY524303:EGY524308 EQU524303:EQU524308 FAQ524303:FAQ524308 FKM524303:FKM524308 FUI524303:FUI524308 GEE524303:GEE524308 GOA524303:GOA524308 GXW524303:GXW524308 HHS524303:HHS524308 HRO524303:HRO524308 IBK524303:IBK524308 ILG524303:ILG524308 IVC524303:IVC524308 JEY524303:JEY524308 JOU524303:JOU524308 JYQ524303:JYQ524308 KIM524303:KIM524308 KSI524303:KSI524308 LCE524303:LCE524308 LMA524303:LMA524308 LVW524303:LVW524308 MFS524303:MFS524308 MPO524303:MPO524308 MZK524303:MZK524308 NJG524303:NJG524308 NTC524303:NTC524308 OCY524303:OCY524308 OMU524303:OMU524308 OWQ524303:OWQ524308 PGM524303:PGM524308 PQI524303:PQI524308 QAE524303:QAE524308 QKA524303:QKA524308 QTW524303:QTW524308 RDS524303:RDS524308 RNO524303:RNO524308 RXK524303:RXK524308 SHG524303:SHG524308 SRC524303:SRC524308 TAY524303:TAY524308 TKU524303:TKU524308 TUQ524303:TUQ524308 UEM524303:UEM524308 UOI524303:UOI524308 UYE524303:UYE524308 VIA524303:VIA524308 VRW524303:VRW524308 WBS524303:WBS524308 WLO524303:WLO524308 WVK524303:WVK524308 C589839:C589844 IY589839:IY589844 SU589839:SU589844 ACQ589839:ACQ589844 AMM589839:AMM589844 AWI589839:AWI589844 BGE589839:BGE589844 BQA589839:BQA589844 BZW589839:BZW589844 CJS589839:CJS589844 CTO589839:CTO589844 DDK589839:DDK589844 DNG589839:DNG589844 DXC589839:DXC589844 EGY589839:EGY589844 EQU589839:EQU589844 FAQ589839:FAQ589844 FKM589839:FKM589844 FUI589839:FUI589844 GEE589839:GEE589844 GOA589839:GOA589844 GXW589839:GXW589844 HHS589839:HHS589844 HRO589839:HRO589844 IBK589839:IBK589844 ILG589839:ILG589844 IVC589839:IVC589844 JEY589839:JEY589844 JOU589839:JOU589844 JYQ589839:JYQ589844 KIM589839:KIM589844 KSI589839:KSI589844 LCE589839:LCE589844 LMA589839:LMA589844 LVW589839:LVW589844 MFS589839:MFS589844 MPO589839:MPO589844 MZK589839:MZK589844 NJG589839:NJG589844 NTC589839:NTC589844 OCY589839:OCY589844 OMU589839:OMU589844 OWQ589839:OWQ589844 PGM589839:PGM589844 PQI589839:PQI589844 QAE589839:QAE589844 QKA589839:QKA589844 QTW589839:QTW589844 RDS589839:RDS589844 RNO589839:RNO589844 RXK589839:RXK589844 SHG589839:SHG589844 SRC589839:SRC589844 TAY589839:TAY589844 TKU589839:TKU589844 TUQ589839:TUQ589844 UEM589839:UEM589844 UOI589839:UOI589844 UYE589839:UYE589844 VIA589839:VIA589844 VRW589839:VRW589844 WBS589839:WBS589844 WLO589839:WLO589844 WVK589839:WVK589844 C655375:C655380 IY655375:IY655380 SU655375:SU655380 ACQ655375:ACQ655380 AMM655375:AMM655380 AWI655375:AWI655380 BGE655375:BGE655380 BQA655375:BQA655380 BZW655375:BZW655380 CJS655375:CJS655380 CTO655375:CTO655380 DDK655375:DDK655380 DNG655375:DNG655380 DXC655375:DXC655380 EGY655375:EGY655380 EQU655375:EQU655380 FAQ655375:FAQ655380 FKM655375:FKM655380 FUI655375:FUI655380 GEE655375:GEE655380 GOA655375:GOA655380 GXW655375:GXW655380 HHS655375:HHS655380 HRO655375:HRO655380 IBK655375:IBK655380 ILG655375:ILG655380 IVC655375:IVC655380 JEY655375:JEY655380 JOU655375:JOU655380 JYQ655375:JYQ655380 KIM655375:KIM655380 KSI655375:KSI655380 LCE655375:LCE655380 LMA655375:LMA655380 LVW655375:LVW655380 MFS655375:MFS655380 MPO655375:MPO655380 MZK655375:MZK655380 NJG655375:NJG655380 NTC655375:NTC655380 OCY655375:OCY655380 OMU655375:OMU655380 OWQ655375:OWQ655380 PGM655375:PGM655380 PQI655375:PQI655380 QAE655375:QAE655380 QKA655375:QKA655380 QTW655375:QTW655380 RDS655375:RDS655380 RNO655375:RNO655380 RXK655375:RXK655380 SHG655375:SHG655380 SRC655375:SRC655380 TAY655375:TAY655380 TKU655375:TKU655380 TUQ655375:TUQ655380 UEM655375:UEM655380 UOI655375:UOI655380 UYE655375:UYE655380 VIA655375:VIA655380 VRW655375:VRW655380 WBS655375:WBS655380 WLO655375:WLO655380 WVK655375:WVK655380 C720911:C720916 IY720911:IY720916 SU720911:SU720916 ACQ720911:ACQ720916 AMM720911:AMM720916 AWI720911:AWI720916 BGE720911:BGE720916 BQA720911:BQA720916 BZW720911:BZW720916 CJS720911:CJS720916 CTO720911:CTO720916 DDK720911:DDK720916 DNG720911:DNG720916 DXC720911:DXC720916 EGY720911:EGY720916 EQU720911:EQU720916 FAQ720911:FAQ720916 FKM720911:FKM720916 FUI720911:FUI720916 GEE720911:GEE720916 GOA720911:GOA720916 GXW720911:GXW720916 HHS720911:HHS720916 HRO720911:HRO720916 IBK720911:IBK720916 ILG720911:ILG720916 IVC720911:IVC720916 JEY720911:JEY720916 JOU720911:JOU720916 JYQ720911:JYQ720916 KIM720911:KIM720916 KSI720911:KSI720916 LCE720911:LCE720916 LMA720911:LMA720916 LVW720911:LVW720916 MFS720911:MFS720916 MPO720911:MPO720916 MZK720911:MZK720916 NJG720911:NJG720916 NTC720911:NTC720916 OCY720911:OCY720916 OMU720911:OMU720916 OWQ720911:OWQ720916 PGM720911:PGM720916 PQI720911:PQI720916 QAE720911:QAE720916 QKA720911:QKA720916 QTW720911:QTW720916 RDS720911:RDS720916 RNO720911:RNO720916 RXK720911:RXK720916 SHG720911:SHG720916 SRC720911:SRC720916 TAY720911:TAY720916 TKU720911:TKU720916 TUQ720911:TUQ720916 UEM720911:UEM720916 UOI720911:UOI720916 UYE720911:UYE720916 VIA720911:VIA720916 VRW720911:VRW720916 WBS720911:WBS720916 WLO720911:WLO720916 WVK720911:WVK720916 C786447:C786452 IY786447:IY786452 SU786447:SU786452 ACQ786447:ACQ786452 AMM786447:AMM786452 AWI786447:AWI786452 BGE786447:BGE786452 BQA786447:BQA786452 BZW786447:BZW786452 CJS786447:CJS786452 CTO786447:CTO786452 DDK786447:DDK786452 DNG786447:DNG786452 DXC786447:DXC786452 EGY786447:EGY786452 EQU786447:EQU786452 FAQ786447:FAQ786452 FKM786447:FKM786452 FUI786447:FUI786452 GEE786447:GEE786452 GOA786447:GOA786452 GXW786447:GXW786452 HHS786447:HHS786452 HRO786447:HRO786452 IBK786447:IBK786452 ILG786447:ILG786452 IVC786447:IVC786452 JEY786447:JEY786452 JOU786447:JOU786452 JYQ786447:JYQ786452 KIM786447:KIM786452 KSI786447:KSI786452 LCE786447:LCE786452 LMA786447:LMA786452 LVW786447:LVW786452 MFS786447:MFS786452 MPO786447:MPO786452 MZK786447:MZK786452 NJG786447:NJG786452 NTC786447:NTC786452 OCY786447:OCY786452 OMU786447:OMU786452 OWQ786447:OWQ786452 PGM786447:PGM786452 PQI786447:PQI786452 QAE786447:QAE786452 QKA786447:QKA786452 QTW786447:QTW786452 RDS786447:RDS786452 RNO786447:RNO786452 RXK786447:RXK786452 SHG786447:SHG786452 SRC786447:SRC786452 TAY786447:TAY786452 TKU786447:TKU786452 TUQ786447:TUQ786452 UEM786447:UEM786452 UOI786447:UOI786452 UYE786447:UYE786452 VIA786447:VIA786452 VRW786447:VRW786452 WBS786447:WBS786452 WLO786447:WLO786452 WVK786447:WVK786452 C851983:C851988 IY851983:IY851988 SU851983:SU851988 ACQ851983:ACQ851988 AMM851983:AMM851988 AWI851983:AWI851988 BGE851983:BGE851988 BQA851983:BQA851988 BZW851983:BZW851988 CJS851983:CJS851988 CTO851983:CTO851988 DDK851983:DDK851988 DNG851983:DNG851988 DXC851983:DXC851988 EGY851983:EGY851988 EQU851983:EQU851988 FAQ851983:FAQ851988 FKM851983:FKM851988 FUI851983:FUI851988 GEE851983:GEE851988 GOA851983:GOA851988 GXW851983:GXW851988 HHS851983:HHS851988 HRO851983:HRO851988 IBK851983:IBK851988 ILG851983:ILG851988 IVC851983:IVC851988 JEY851983:JEY851988 JOU851983:JOU851988 JYQ851983:JYQ851988 KIM851983:KIM851988 KSI851983:KSI851988 LCE851983:LCE851988 LMA851983:LMA851988 LVW851983:LVW851988 MFS851983:MFS851988 MPO851983:MPO851988 MZK851983:MZK851988 NJG851983:NJG851988 NTC851983:NTC851988 OCY851983:OCY851988 OMU851983:OMU851988 OWQ851983:OWQ851988 PGM851983:PGM851988 PQI851983:PQI851988 QAE851983:QAE851988 QKA851983:QKA851988 QTW851983:QTW851988 RDS851983:RDS851988 RNO851983:RNO851988 RXK851983:RXK851988 SHG851983:SHG851988 SRC851983:SRC851988 TAY851983:TAY851988 TKU851983:TKU851988 TUQ851983:TUQ851988 UEM851983:UEM851988 UOI851983:UOI851988 UYE851983:UYE851988 VIA851983:VIA851988 VRW851983:VRW851988 WBS851983:WBS851988 WLO851983:WLO851988 WVK851983:WVK851988 C917519:C917524 IY917519:IY917524 SU917519:SU917524 ACQ917519:ACQ917524 AMM917519:AMM917524 AWI917519:AWI917524 BGE917519:BGE917524 BQA917519:BQA917524 BZW917519:BZW917524 CJS917519:CJS917524 CTO917519:CTO917524 DDK917519:DDK917524 DNG917519:DNG917524 DXC917519:DXC917524 EGY917519:EGY917524 EQU917519:EQU917524 FAQ917519:FAQ917524 FKM917519:FKM917524 FUI917519:FUI917524 GEE917519:GEE917524 GOA917519:GOA917524 GXW917519:GXW917524 HHS917519:HHS917524 HRO917519:HRO917524 IBK917519:IBK917524 ILG917519:ILG917524 IVC917519:IVC917524 JEY917519:JEY917524 JOU917519:JOU917524 JYQ917519:JYQ917524 KIM917519:KIM917524 KSI917519:KSI917524 LCE917519:LCE917524 LMA917519:LMA917524 LVW917519:LVW917524 MFS917519:MFS917524 MPO917519:MPO917524 MZK917519:MZK917524 NJG917519:NJG917524 NTC917519:NTC917524 OCY917519:OCY917524 OMU917519:OMU917524 OWQ917519:OWQ917524 PGM917519:PGM917524 PQI917519:PQI917524 QAE917519:QAE917524 QKA917519:QKA917524 QTW917519:QTW917524 RDS917519:RDS917524 RNO917519:RNO917524 RXK917519:RXK917524 SHG917519:SHG917524 SRC917519:SRC917524 TAY917519:TAY917524 TKU917519:TKU917524 TUQ917519:TUQ917524 UEM917519:UEM917524 UOI917519:UOI917524 UYE917519:UYE917524 VIA917519:VIA917524 VRW917519:VRW917524 WBS917519:WBS917524 WLO917519:WLO917524 WVK917519:WVK917524 C983055:C983060 IY983055:IY983060 SU983055:SU983060 ACQ983055:ACQ983060 AMM983055:AMM983060 AWI983055:AWI983060 BGE983055:BGE983060 BQA983055:BQA983060 BZW983055:BZW983060 CJS983055:CJS983060 CTO983055:CTO983060 DDK983055:DDK983060 DNG983055:DNG983060 DXC983055:DXC983060 EGY983055:EGY983060 EQU983055:EQU983060 FAQ983055:FAQ983060 FKM983055:FKM983060 FUI983055:FUI983060 GEE983055:GEE983060 GOA983055:GOA983060 GXW983055:GXW983060 HHS983055:HHS983060 HRO983055:HRO983060 IBK983055:IBK983060 ILG983055:ILG983060 IVC983055:IVC983060 JEY983055:JEY983060 JOU983055:JOU983060 JYQ983055:JYQ983060 KIM983055:KIM983060 KSI983055:KSI983060 LCE983055:LCE983060 LMA983055:LMA983060 LVW983055:LVW983060 MFS983055:MFS983060 MPO983055:MPO983060 MZK983055:MZK983060 NJG983055:NJG983060 NTC983055:NTC983060 OCY983055:OCY983060 OMU983055:OMU983060 OWQ983055:OWQ983060 PGM983055:PGM983060 PQI983055:PQI983060 QAE983055:QAE983060 QKA983055:QKA983060 QTW983055:QTW983060 RDS983055:RDS983060 RNO983055:RNO983060 RXK983055:RXK983060 SHG983055:SHG983060 SRC983055:SRC983060 TAY983055:TAY983060 TKU983055:TKU983060 TUQ983055:TUQ983060 UEM983055:UEM983060 UOI983055:UOI983060 UYE983055:UYE983060 VIA983055:VIA983060 VRW983055:VRW983060 WBS983055:WBS983060 WLO983055:WLO983060 WVK983055:WVK983060 C7:C12 IY7:IY12 SU7:SU12 ACQ7:ACQ12 AMM7:AMM12 AWI7:AWI12 BGE7:BGE12 BQA7:BQA12 BZW7:BZW12 CJS7:CJS12 CTO7:CTO12 DDK7:DDK12 DNG7:DNG12 DXC7:DXC12 EGY7:EGY12 EQU7:EQU12 FAQ7:FAQ12 FKM7:FKM12 FUI7:FUI12 GEE7:GEE12 GOA7:GOA12 GXW7:GXW12 HHS7:HHS12 HRO7:HRO12 IBK7:IBK12 ILG7:ILG12 IVC7:IVC12 JEY7:JEY12 JOU7:JOU12 JYQ7:JYQ12 KIM7:KIM12 KSI7:KSI12 LCE7:LCE12 LMA7:LMA12 LVW7:LVW12 MFS7:MFS12 MPO7:MPO12 MZK7:MZK12 NJG7:NJG12 NTC7:NTC12 OCY7:OCY12 OMU7:OMU12 OWQ7:OWQ12 PGM7:PGM12 PQI7:PQI12 QAE7:QAE12 QKA7:QKA12 QTW7:QTW12 RDS7:RDS12 RNO7:RNO12 RXK7:RXK12 SHG7:SHG12 SRC7:SRC12 TAY7:TAY12 TKU7:TKU12 TUQ7:TUQ12 UEM7:UEM12 UOI7:UOI12 UYE7:UYE12 VIA7:VIA12 VRW7:VRW12 WBS7:WBS12 WLO7:WLO12 WVK7:WVK12 C65543:C65548 IY65543:IY65548 SU65543:SU65548 ACQ65543:ACQ65548 AMM65543:AMM65548 AWI65543:AWI65548 BGE65543:BGE65548 BQA65543:BQA65548 BZW65543:BZW65548 CJS65543:CJS65548 CTO65543:CTO65548 DDK65543:DDK65548 DNG65543:DNG65548 DXC65543:DXC65548 EGY65543:EGY65548 EQU65543:EQU65548 FAQ65543:FAQ65548 FKM65543:FKM65548 FUI65543:FUI65548 GEE65543:GEE65548 GOA65543:GOA65548 GXW65543:GXW65548 HHS65543:HHS65548 HRO65543:HRO65548 IBK65543:IBK65548 ILG65543:ILG65548 IVC65543:IVC65548 JEY65543:JEY65548 JOU65543:JOU65548 JYQ65543:JYQ65548 KIM65543:KIM65548 KSI65543:KSI65548 LCE65543:LCE65548 LMA65543:LMA65548 LVW65543:LVW65548 MFS65543:MFS65548 MPO65543:MPO65548 MZK65543:MZK65548 NJG65543:NJG65548 NTC65543:NTC65548 OCY65543:OCY65548 OMU65543:OMU65548 OWQ65543:OWQ65548 PGM65543:PGM65548 PQI65543:PQI65548 QAE65543:QAE65548 QKA65543:QKA65548 QTW65543:QTW65548 RDS65543:RDS65548 RNO65543:RNO65548 RXK65543:RXK65548 SHG65543:SHG65548 SRC65543:SRC65548 TAY65543:TAY65548 TKU65543:TKU65548 TUQ65543:TUQ65548 UEM65543:UEM65548 UOI65543:UOI65548 UYE65543:UYE65548 VIA65543:VIA65548 VRW65543:VRW65548 WBS65543:WBS65548 WLO65543:WLO65548 WVK65543:WVK65548 C131079:C131084 IY131079:IY131084 SU131079:SU131084 ACQ131079:ACQ131084 AMM131079:AMM131084 AWI131079:AWI131084 BGE131079:BGE131084 BQA131079:BQA131084 BZW131079:BZW131084 CJS131079:CJS131084 CTO131079:CTO131084 DDK131079:DDK131084 DNG131079:DNG131084 DXC131079:DXC131084 EGY131079:EGY131084 EQU131079:EQU131084 FAQ131079:FAQ131084 FKM131079:FKM131084 FUI131079:FUI131084 GEE131079:GEE131084 GOA131079:GOA131084 GXW131079:GXW131084 HHS131079:HHS131084 HRO131079:HRO131084 IBK131079:IBK131084 ILG131079:ILG131084 IVC131079:IVC131084 JEY131079:JEY131084 JOU131079:JOU131084 JYQ131079:JYQ131084 KIM131079:KIM131084 KSI131079:KSI131084 LCE131079:LCE131084 LMA131079:LMA131084 LVW131079:LVW131084 MFS131079:MFS131084 MPO131079:MPO131084 MZK131079:MZK131084 NJG131079:NJG131084 NTC131079:NTC131084 OCY131079:OCY131084 OMU131079:OMU131084 OWQ131079:OWQ131084 PGM131079:PGM131084 PQI131079:PQI131084 QAE131079:QAE131084 QKA131079:QKA131084 QTW131079:QTW131084 RDS131079:RDS131084 RNO131079:RNO131084 RXK131079:RXK131084 SHG131079:SHG131084 SRC131079:SRC131084 TAY131079:TAY131084 TKU131079:TKU131084 TUQ131079:TUQ131084 UEM131079:UEM131084 UOI131079:UOI131084 UYE131079:UYE131084 VIA131079:VIA131084 VRW131079:VRW131084 WBS131079:WBS131084 WLO131079:WLO131084 WVK131079:WVK131084 C196615:C196620 IY196615:IY196620 SU196615:SU196620 ACQ196615:ACQ196620 AMM196615:AMM196620 AWI196615:AWI196620 BGE196615:BGE196620 BQA196615:BQA196620 BZW196615:BZW196620 CJS196615:CJS196620 CTO196615:CTO196620 DDK196615:DDK196620 DNG196615:DNG196620 DXC196615:DXC196620 EGY196615:EGY196620 EQU196615:EQU196620 FAQ196615:FAQ196620 FKM196615:FKM196620 FUI196615:FUI196620 GEE196615:GEE196620 GOA196615:GOA196620 GXW196615:GXW196620 HHS196615:HHS196620 HRO196615:HRO196620 IBK196615:IBK196620 ILG196615:ILG196620 IVC196615:IVC196620 JEY196615:JEY196620 JOU196615:JOU196620 JYQ196615:JYQ196620 KIM196615:KIM196620 KSI196615:KSI196620 LCE196615:LCE196620 LMA196615:LMA196620 LVW196615:LVW196620 MFS196615:MFS196620 MPO196615:MPO196620 MZK196615:MZK196620 NJG196615:NJG196620 NTC196615:NTC196620 OCY196615:OCY196620 OMU196615:OMU196620 OWQ196615:OWQ196620 PGM196615:PGM196620 PQI196615:PQI196620 QAE196615:QAE196620 QKA196615:QKA196620 QTW196615:QTW196620 RDS196615:RDS196620 RNO196615:RNO196620 RXK196615:RXK196620 SHG196615:SHG196620 SRC196615:SRC196620 TAY196615:TAY196620 TKU196615:TKU196620 TUQ196615:TUQ196620 UEM196615:UEM196620 UOI196615:UOI196620 UYE196615:UYE196620 VIA196615:VIA196620 VRW196615:VRW196620 WBS196615:WBS196620 WLO196615:WLO196620 WVK196615:WVK196620 C262151:C262156 IY262151:IY262156 SU262151:SU262156 ACQ262151:ACQ262156 AMM262151:AMM262156 AWI262151:AWI262156 BGE262151:BGE262156 BQA262151:BQA262156 BZW262151:BZW262156 CJS262151:CJS262156 CTO262151:CTO262156 DDK262151:DDK262156 DNG262151:DNG262156 DXC262151:DXC262156 EGY262151:EGY262156 EQU262151:EQU262156 FAQ262151:FAQ262156 FKM262151:FKM262156 FUI262151:FUI262156 GEE262151:GEE262156 GOA262151:GOA262156 GXW262151:GXW262156 HHS262151:HHS262156 HRO262151:HRO262156 IBK262151:IBK262156 ILG262151:ILG262156 IVC262151:IVC262156 JEY262151:JEY262156 JOU262151:JOU262156 JYQ262151:JYQ262156 KIM262151:KIM262156 KSI262151:KSI262156 LCE262151:LCE262156 LMA262151:LMA262156 LVW262151:LVW262156 MFS262151:MFS262156 MPO262151:MPO262156 MZK262151:MZK262156 NJG262151:NJG262156 NTC262151:NTC262156 OCY262151:OCY262156 OMU262151:OMU262156 OWQ262151:OWQ262156 PGM262151:PGM262156 PQI262151:PQI262156 QAE262151:QAE262156 QKA262151:QKA262156 QTW262151:QTW262156 RDS262151:RDS262156 RNO262151:RNO262156 RXK262151:RXK262156 SHG262151:SHG262156 SRC262151:SRC262156 TAY262151:TAY262156 TKU262151:TKU262156 TUQ262151:TUQ262156 UEM262151:UEM262156 UOI262151:UOI262156 UYE262151:UYE262156 VIA262151:VIA262156 VRW262151:VRW262156 WBS262151:WBS262156 WLO262151:WLO262156 WVK262151:WVK262156 C327687:C327692 IY327687:IY327692 SU327687:SU327692 ACQ327687:ACQ327692 AMM327687:AMM327692 AWI327687:AWI327692 BGE327687:BGE327692 BQA327687:BQA327692 BZW327687:BZW327692 CJS327687:CJS327692 CTO327687:CTO327692 DDK327687:DDK327692 DNG327687:DNG327692 DXC327687:DXC327692 EGY327687:EGY327692 EQU327687:EQU327692 FAQ327687:FAQ327692 FKM327687:FKM327692 FUI327687:FUI327692 GEE327687:GEE327692 GOA327687:GOA327692 GXW327687:GXW327692 HHS327687:HHS327692 HRO327687:HRO327692 IBK327687:IBK327692 ILG327687:ILG327692 IVC327687:IVC327692 JEY327687:JEY327692 JOU327687:JOU327692 JYQ327687:JYQ327692 KIM327687:KIM327692 KSI327687:KSI327692 LCE327687:LCE327692 LMA327687:LMA327692 LVW327687:LVW327692 MFS327687:MFS327692 MPO327687:MPO327692 MZK327687:MZK327692 NJG327687:NJG327692 NTC327687:NTC327692 OCY327687:OCY327692 OMU327687:OMU327692 OWQ327687:OWQ327692 PGM327687:PGM327692 PQI327687:PQI327692 QAE327687:QAE327692 QKA327687:QKA327692 QTW327687:QTW327692 RDS327687:RDS327692 RNO327687:RNO327692 RXK327687:RXK327692 SHG327687:SHG327692 SRC327687:SRC327692 TAY327687:TAY327692 TKU327687:TKU327692 TUQ327687:TUQ327692 UEM327687:UEM327692 UOI327687:UOI327692 UYE327687:UYE327692 VIA327687:VIA327692 VRW327687:VRW327692 WBS327687:WBS327692 WLO327687:WLO327692 WVK327687:WVK327692 C393223:C393228 IY393223:IY393228 SU393223:SU393228 ACQ393223:ACQ393228 AMM393223:AMM393228 AWI393223:AWI393228 BGE393223:BGE393228 BQA393223:BQA393228 BZW393223:BZW393228 CJS393223:CJS393228 CTO393223:CTO393228 DDK393223:DDK393228 DNG393223:DNG393228 DXC393223:DXC393228 EGY393223:EGY393228 EQU393223:EQU393228 FAQ393223:FAQ393228 FKM393223:FKM393228 FUI393223:FUI393228 GEE393223:GEE393228 GOA393223:GOA393228 GXW393223:GXW393228 HHS393223:HHS393228 HRO393223:HRO393228 IBK393223:IBK393228 ILG393223:ILG393228 IVC393223:IVC393228 JEY393223:JEY393228 JOU393223:JOU393228 JYQ393223:JYQ393228 KIM393223:KIM393228 KSI393223:KSI393228 LCE393223:LCE393228 LMA393223:LMA393228 LVW393223:LVW393228 MFS393223:MFS393228 MPO393223:MPO393228 MZK393223:MZK393228 NJG393223:NJG393228 NTC393223:NTC393228 OCY393223:OCY393228 OMU393223:OMU393228 OWQ393223:OWQ393228 PGM393223:PGM393228 PQI393223:PQI393228 QAE393223:QAE393228 QKA393223:QKA393228 QTW393223:QTW393228 RDS393223:RDS393228 RNO393223:RNO393228 RXK393223:RXK393228 SHG393223:SHG393228 SRC393223:SRC393228 TAY393223:TAY393228 TKU393223:TKU393228 TUQ393223:TUQ393228 UEM393223:UEM393228 UOI393223:UOI393228 UYE393223:UYE393228 VIA393223:VIA393228 VRW393223:VRW393228 WBS393223:WBS393228 WLO393223:WLO393228 WVK393223:WVK393228 C458759:C458764 IY458759:IY458764 SU458759:SU458764 ACQ458759:ACQ458764 AMM458759:AMM458764 AWI458759:AWI458764 BGE458759:BGE458764 BQA458759:BQA458764 BZW458759:BZW458764 CJS458759:CJS458764 CTO458759:CTO458764 DDK458759:DDK458764 DNG458759:DNG458764 DXC458759:DXC458764 EGY458759:EGY458764 EQU458759:EQU458764 FAQ458759:FAQ458764 FKM458759:FKM458764 FUI458759:FUI458764 GEE458759:GEE458764 GOA458759:GOA458764 GXW458759:GXW458764 HHS458759:HHS458764 HRO458759:HRO458764 IBK458759:IBK458764 ILG458759:ILG458764 IVC458759:IVC458764 JEY458759:JEY458764 JOU458759:JOU458764 JYQ458759:JYQ458764 KIM458759:KIM458764 KSI458759:KSI458764 LCE458759:LCE458764 LMA458759:LMA458764 LVW458759:LVW458764 MFS458759:MFS458764 MPO458759:MPO458764 MZK458759:MZK458764 NJG458759:NJG458764 NTC458759:NTC458764 OCY458759:OCY458764 OMU458759:OMU458764 OWQ458759:OWQ458764 PGM458759:PGM458764 PQI458759:PQI458764 QAE458759:QAE458764 QKA458759:QKA458764 QTW458759:QTW458764 RDS458759:RDS458764 RNO458759:RNO458764 RXK458759:RXK458764 SHG458759:SHG458764 SRC458759:SRC458764 TAY458759:TAY458764 TKU458759:TKU458764 TUQ458759:TUQ458764 UEM458759:UEM458764 UOI458759:UOI458764 UYE458759:UYE458764 VIA458759:VIA458764 VRW458759:VRW458764 WBS458759:WBS458764 WLO458759:WLO458764 WVK458759:WVK458764 C524295:C524300 IY524295:IY524300 SU524295:SU524300 ACQ524295:ACQ524300 AMM524295:AMM524300 AWI524295:AWI524300 BGE524295:BGE524300 BQA524295:BQA524300 BZW524295:BZW524300 CJS524295:CJS524300 CTO524295:CTO524300 DDK524295:DDK524300 DNG524295:DNG524300 DXC524295:DXC524300 EGY524295:EGY524300 EQU524295:EQU524300 FAQ524295:FAQ524300 FKM524295:FKM524300 FUI524295:FUI524300 GEE524295:GEE524300 GOA524295:GOA524300 GXW524295:GXW524300 HHS524295:HHS524300 HRO524295:HRO524300 IBK524295:IBK524300 ILG524295:ILG524300 IVC524295:IVC524300 JEY524295:JEY524300 JOU524295:JOU524300 JYQ524295:JYQ524300 KIM524295:KIM524300 KSI524295:KSI524300 LCE524295:LCE524300 LMA524295:LMA524300 LVW524295:LVW524300 MFS524295:MFS524300 MPO524295:MPO524300 MZK524295:MZK524300 NJG524295:NJG524300 NTC524295:NTC524300 OCY524295:OCY524300 OMU524295:OMU524300 OWQ524295:OWQ524300 PGM524295:PGM524300 PQI524295:PQI524300 QAE524295:QAE524300 QKA524295:QKA524300 QTW524295:QTW524300 RDS524295:RDS524300 RNO524295:RNO524300 RXK524295:RXK524300 SHG524295:SHG524300 SRC524295:SRC524300 TAY524295:TAY524300 TKU524295:TKU524300 TUQ524295:TUQ524300 UEM524295:UEM524300 UOI524295:UOI524300 UYE524295:UYE524300 VIA524295:VIA524300 VRW524295:VRW524300 WBS524295:WBS524300 WLO524295:WLO524300 WVK524295:WVK524300 C589831:C589836 IY589831:IY589836 SU589831:SU589836 ACQ589831:ACQ589836 AMM589831:AMM589836 AWI589831:AWI589836 BGE589831:BGE589836 BQA589831:BQA589836 BZW589831:BZW589836 CJS589831:CJS589836 CTO589831:CTO589836 DDK589831:DDK589836 DNG589831:DNG589836 DXC589831:DXC589836 EGY589831:EGY589836 EQU589831:EQU589836 FAQ589831:FAQ589836 FKM589831:FKM589836 FUI589831:FUI589836 GEE589831:GEE589836 GOA589831:GOA589836 GXW589831:GXW589836 HHS589831:HHS589836 HRO589831:HRO589836 IBK589831:IBK589836 ILG589831:ILG589836 IVC589831:IVC589836 JEY589831:JEY589836 JOU589831:JOU589836 JYQ589831:JYQ589836 KIM589831:KIM589836 KSI589831:KSI589836 LCE589831:LCE589836 LMA589831:LMA589836 LVW589831:LVW589836 MFS589831:MFS589836 MPO589831:MPO589836 MZK589831:MZK589836 NJG589831:NJG589836 NTC589831:NTC589836 OCY589831:OCY589836 OMU589831:OMU589836 OWQ589831:OWQ589836 PGM589831:PGM589836 PQI589831:PQI589836 QAE589831:QAE589836 QKA589831:QKA589836 QTW589831:QTW589836 RDS589831:RDS589836 RNO589831:RNO589836 RXK589831:RXK589836 SHG589831:SHG589836 SRC589831:SRC589836 TAY589831:TAY589836 TKU589831:TKU589836 TUQ589831:TUQ589836 UEM589831:UEM589836 UOI589831:UOI589836 UYE589831:UYE589836 VIA589831:VIA589836 VRW589831:VRW589836 WBS589831:WBS589836 WLO589831:WLO589836 WVK589831:WVK589836 C655367:C655372 IY655367:IY655372 SU655367:SU655372 ACQ655367:ACQ655372 AMM655367:AMM655372 AWI655367:AWI655372 BGE655367:BGE655372 BQA655367:BQA655372 BZW655367:BZW655372 CJS655367:CJS655372 CTO655367:CTO655372 DDK655367:DDK655372 DNG655367:DNG655372 DXC655367:DXC655372 EGY655367:EGY655372 EQU655367:EQU655372 FAQ655367:FAQ655372 FKM655367:FKM655372 FUI655367:FUI655372 GEE655367:GEE655372 GOA655367:GOA655372 GXW655367:GXW655372 HHS655367:HHS655372 HRO655367:HRO655372 IBK655367:IBK655372 ILG655367:ILG655372 IVC655367:IVC655372 JEY655367:JEY655372 JOU655367:JOU655372 JYQ655367:JYQ655372 KIM655367:KIM655372 KSI655367:KSI655372 LCE655367:LCE655372 LMA655367:LMA655372 LVW655367:LVW655372 MFS655367:MFS655372 MPO655367:MPO655372 MZK655367:MZK655372 NJG655367:NJG655372 NTC655367:NTC655372 OCY655367:OCY655372 OMU655367:OMU655372 OWQ655367:OWQ655372 PGM655367:PGM655372 PQI655367:PQI655372 QAE655367:QAE655372 QKA655367:QKA655372 QTW655367:QTW655372 RDS655367:RDS655372 RNO655367:RNO655372 RXK655367:RXK655372 SHG655367:SHG655372 SRC655367:SRC655372 TAY655367:TAY655372 TKU655367:TKU655372 TUQ655367:TUQ655372 UEM655367:UEM655372 UOI655367:UOI655372 UYE655367:UYE655372 VIA655367:VIA655372 VRW655367:VRW655372 WBS655367:WBS655372 WLO655367:WLO655372 WVK655367:WVK655372 C720903:C720908 IY720903:IY720908 SU720903:SU720908 ACQ720903:ACQ720908 AMM720903:AMM720908 AWI720903:AWI720908 BGE720903:BGE720908 BQA720903:BQA720908 BZW720903:BZW720908 CJS720903:CJS720908 CTO720903:CTO720908 DDK720903:DDK720908 DNG720903:DNG720908 DXC720903:DXC720908 EGY720903:EGY720908 EQU720903:EQU720908 FAQ720903:FAQ720908 FKM720903:FKM720908 FUI720903:FUI720908 GEE720903:GEE720908 GOA720903:GOA720908 GXW720903:GXW720908 HHS720903:HHS720908 HRO720903:HRO720908 IBK720903:IBK720908 ILG720903:ILG720908 IVC720903:IVC720908 JEY720903:JEY720908 JOU720903:JOU720908 JYQ720903:JYQ720908 KIM720903:KIM720908 KSI720903:KSI720908 LCE720903:LCE720908 LMA720903:LMA720908 LVW720903:LVW720908 MFS720903:MFS720908 MPO720903:MPO720908 MZK720903:MZK720908 NJG720903:NJG720908 NTC720903:NTC720908 OCY720903:OCY720908 OMU720903:OMU720908 OWQ720903:OWQ720908 PGM720903:PGM720908 PQI720903:PQI720908 QAE720903:QAE720908 QKA720903:QKA720908 QTW720903:QTW720908 RDS720903:RDS720908 RNO720903:RNO720908 RXK720903:RXK720908 SHG720903:SHG720908 SRC720903:SRC720908 TAY720903:TAY720908 TKU720903:TKU720908 TUQ720903:TUQ720908 UEM720903:UEM720908 UOI720903:UOI720908 UYE720903:UYE720908 VIA720903:VIA720908 VRW720903:VRW720908 WBS720903:WBS720908 WLO720903:WLO720908 WVK720903:WVK720908 C786439:C786444 IY786439:IY786444 SU786439:SU786444 ACQ786439:ACQ786444 AMM786439:AMM786444 AWI786439:AWI786444 BGE786439:BGE786444 BQA786439:BQA786444 BZW786439:BZW786444 CJS786439:CJS786444 CTO786439:CTO786444 DDK786439:DDK786444 DNG786439:DNG786444 DXC786439:DXC786444 EGY786439:EGY786444 EQU786439:EQU786444 FAQ786439:FAQ786444 FKM786439:FKM786444 FUI786439:FUI786444 GEE786439:GEE786444 GOA786439:GOA786444 GXW786439:GXW786444 HHS786439:HHS786444 HRO786439:HRO786444 IBK786439:IBK786444 ILG786439:ILG786444 IVC786439:IVC786444 JEY786439:JEY786444 JOU786439:JOU786444 JYQ786439:JYQ786444 KIM786439:KIM786444 KSI786439:KSI786444 LCE786439:LCE786444 LMA786439:LMA786444 LVW786439:LVW786444 MFS786439:MFS786444 MPO786439:MPO786444 MZK786439:MZK786444 NJG786439:NJG786444 NTC786439:NTC786444 OCY786439:OCY786444 OMU786439:OMU786444 OWQ786439:OWQ786444 PGM786439:PGM786444 PQI786439:PQI786444 QAE786439:QAE786444 QKA786439:QKA786444 QTW786439:QTW786444 RDS786439:RDS786444 RNO786439:RNO786444 RXK786439:RXK786444 SHG786439:SHG786444 SRC786439:SRC786444 TAY786439:TAY786444 TKU786439:TKU786444 TUQ786439:TUQ786444 UEM786439:UEM786444 UOI786439:UOI786444 UYE786439:UYE786444 VIA786439:VIA786444 VRW786439:VRW786444 WBS786439:WBS786444 WLO786439:WLO786444 WVK786439:WVK786444 C851975:C851980 IY851975:IY851980 SU851975:SU851980 ACQ851975:ACQ851980 AMM851975:AMM851980 AWI851975:AWI851980 BGE851975:BGE851980 BQA851975:BQA851980 BZW851975:BZW851980 CJS851975:CJS851980 CTO851975:CTO851980 DDK851975:DDK851980 DNG851975:DNG851980 DXC851975:DXC851980 EGY851975:EGY851980 EQU851975:EQU851980 FAQ851975:FAQ851980 FKM851975:FKM851980 FUI851975:FUI851980 GEE851975:GEE851980 GOA851975:GOA851980 GXW851975:GXW851980 HHS851975:HHS851980 HRO851975:HRO851980 IBK851975:IBK851980 ILG851975:ILG851980 IVC851975:IVC851980 JEY851975:JEY851980 JOU851975:JOU851980 JYQ851975:JYQ851980 KIM851975:KIM851980 KSI851975:KSI851980 LCE851975:LCE851980 LMA851975:LMA851980 LVW851975:LVW851980 MFS851975:MFS851980 MPO851975:MPO851980 MZK851975:MZK851980 NJG851975:NJG851980 NTC851975:NTC851980 OCY851975:OCY851980 OMU851975:OMU851980 OWQ851975:OWQ851980 PGM851975:PGM851980 PQI851975:PQI851980 QAE851975:QAE851980 QKA851975:QKA851980 QTW851975:QTW851980 RDS851975:RDS851980 RNO851975:RNO851980 RXK851975:RXK851980 SHG851975:SHG851980 SRC851975:SRC851980 TAY851975:TAY851980 TKU851975:TKU851980 TUQ851975:TUQ851980 UEM851975:UEM851980 UOI851975:UOI851980 UYE851975:UYE851980 VIA851975:VIA851980 VRW851975:VRW851980 WBS851975:WBS851980 WLO851975:WLO851980 WVK851975:WVK851980 C917511:C917516 IY917511:IY917516 SU917511:SU917516 ACQ917511:ACQ917516 AMM917511:AMM917516 AWI917511:AWI917516 BGE917511:BGE917516 BQA917511:BQA917516 BZW917511:BZW917516 CJS917511:CJS917516 CTO917511:CTO917516 DDK917511:DDK917516 DNG917511:DNG917516 DXC917511:DXC917516 EGY917511:EGY917516 EQU917511:EQU917516 FAQ917511:FAQ917516 FKM917511:FKM917516 FUI917511:FUI917516 GEE917511:GEE917516 GOA917511:GOA917516 GXW917511:GXW917516 HHS917511:HHS917516 HRO917511:HRO917516 IBK917511:IBK917516 ILG917511:ILG917516 IVC917511:IVC917516 JEY917511:JEY917516 JOU917511:JOU917516 JYQ917511:JYQ917516 KIM917511:KIM917516 KSI917511:KSI917516 LCE917511:LCE917516 LMA917511:LMA917516 LVW917511:LVW917516 MFS917511:MFS917516 MPO917511:MPO917516 MZK917511:MZK917516 NJG917511:NJG917516 NTC917511:NTC917516 OCY917511:OCY917516 OMU917511:OMU917516 OWQ917511:OWQ917516 PGM917511:PGM917516 PQI917511:PQI917516 QAE917511:QAE917516 QKA917511:QKA917516 QTW917511:QTW917516 RDS917511:RDS917516 RNO917511:RNO917516 RXK917511:RXK917516 SHG917511:SHG917516 SRC917511:SRC917516 TAY917511:TAY917516 TKU917511:TKU917516 TUQ917511:TUQ917516 UEM917511:UEM917516 UOI917511:UOI917516 UYE917511:UYE917516 VIA917511:VIA917516 VRW917511:VRW917516 WBS917511:WBS917516 WLO917511:WLO917516 WVK917511:WVK917516 C983047:C983052 IY983047:IY983052 SU983047:SU983052 ACQ983047:ACQ983052 AMM983047:AMM983052 AWI983047:AWI983052 BGE983047:BGE983052 BQA983047:BQA983052 BZW983047:BZW983052 CJS983047:CJS983052 CTO983047:CTO983052 DDK983047:DDK983052 DNG983047:DNG983052 DXC983047:DXC983052 EGY983047:EGY983052 EQU983047:EQU983052 FAQ983047:FAQ983052 FKM983047:FKM983052 FUI983047:FUI983052 GEE983047:GEE983052 GOA983047:GOA983052 GXW983047:GXW983052 HHS983047:HHS983052 HRO983047:HRO983052 IBK983047:IBK983052 ILG983047:ILG983052 IVC983047:IVC983052 JEY983047:JEY983052 JOU983047:JOU983052 JYQ983047:JYQ983052 KIM983047:KIM983052 KSI983047:KSI983052 LCE983047:LCE983052 LMA983047:LMA983052 LVW983047:LVW983052 MFS983047:MFS983052 MPO983047:MPO983052 MZK983047:MZK983052 NJG983047:NJG983052 NTC983047:NTC983052 OCY983047:OCY983052 OMU983047:OMU983052 OWQ983047:OWQ983052 PGM983047:PGM983052 PQI983047:PQI983052 QAE983047:QAE983052 QKA983047:QKA983052 QTW983047:QTW983052 RDS983047:RDS983052 RNO983047:RNO983052 RXK983047:RXK983052 SHG983047:SHG983052 SRC983047:SRC983052 TAY983047:TAY983052 TKU983047:TKU983052 TUQ983047:TUQ983052 UEM983047:UEM983052 UOI983047:UOI983052 UYE983047:UYE983052 VIA983047:VIA983052 VRW983047:VRW983052 WBS983047:WBS983052 WLO983047:WLO983052 WVK983047:WVK983052">
      <formula1>$H$5:$H$6</formula1>
    </dataValidation>
  </dataValidations>
  <pageMargins left="0.56999999999999995" right="0.44" top="0.31" bottom="0.27" header="0.25" footer="0.19"/>
  <pageSetup paperSize="9" orientation="portrait" verticalDpi="1200" r:id="rId1"/>
  <headerFooter alignWithMargins="0">
    <oddFooter>&amp;R&amp;6TE 2011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72"/>
  <sheetViews>
    <sheetView zoomScaleNormal="100" workbookViewId="0">
      <selection activeCell="K13" sqref="K13"/>
    </sheetView>
  </sheetViews>
  <sheetFormatPr defaultRowHeight="12.75" x14ac:dyDescent="0.2"/>
  <cols>
    <col min="1" max="1" width="5.42578125" style="596" customWidth="1"/>
    <col min="2" max="2" width="4.42578125" style="596" customWidth="1"/>
    <col min="3" max="3" width="3.28515625" style="596" customWidth="1"/>
    <col min="4" max="4" width="3.28515625" style="596" hidden="1" customWidth="1"/>
    <col min="5" max="5" width="9.140625" style="804"/>
    <col min="6" max="6" width="9.85546875" style="804" customWidth="1"/>
    <col min="7" max="9" width="9.140625" style="804"/>
    <col min="10" max="10" width="9.140625" style="596" customWidth="1"/>
    <col min="11" max="16384" width="9.140625" style="804"/>
  </cols>
  <sheetData>
    <row r="1" spans="1:10" x14ac:dyDescent="0.2">
      <c r="B1" s="596" t="s">
        <v>32</v>
      </c>
      <c r="E1" s="803" t="str">
        <f>Fältkort!H91</f>
        <v>HUG066</v>
      </c>
      <c r="F1" s="596" t="s">
        <v>444</v>
      </c>
      <c r="G1" s="803" t="str">
        <f>Fältkort!H86</f>
        <v>HU-1433</v>
      </c>
      <c r="H1" s="596" t="s">
        <v>33</v>
      </c>
      <c r="I1" s="803" t="str">
        <f>Fältkort!H94</f>
        <v>M-658-2014</v>
      </c>
    </row>
    <row r="2" spans="1:10" x14ac:dyDescent="0.2">
      <c r="B2" s="596" t="s">
        <v>42</v>
      </c>
      <c r="E2" s="805"/>
      <c r="F2" s="596" t="s">
        <v>445</v>
      </c>
      <c r="G2" s="805"/>
      <c r="H2" s="804" t="s">
        <v>13</v>
      </c>
      <c r="I2" s="805"/>
      <c r="J2" s="596" t="s">
        <v>1382</v>
      </c>
    </row>
    <row r="3" spans="1:10" ht="6.75" customHeight="1" x14ac:dyDescent="0.2"/>
    <row r="4" spans="1:10" x14ac:dyDescent="0.2">
      <c r="A4" s="596" t="s">
        <v>149</v>
      </c>
      <c r="B4" s="591" t="s">
        <v>158</v>
      </c>
      <c r="C4" s="591" t="s">
        <v>157</v>
      </c>
      <c r="D4" s="591"/>
      <c r="E4" s="804" t="s">
        <v>450</v>
      </c>
      <c r="F4" s="804" t="s">
        <v>468</v>
      </c>
      <c r="J4" s="596" t="s">
        <v>469</v>
      </c>
    </row>
    <row r="5" spans="1:10" x14ac:dyDescent="0.2">
      <c r="A5" s="806">
        <f>IF(ISNUMBER(Led!D2),Led!D2,"")</f>
        <v>1</v>
      </c>
      <c r="B5" s="807">
        <f>IF(ISNUMBER($A5),Led!E2,"")</f>
        <v>1</v>
      </c>
      <c r="C5" s="807">
        <f>IF(ISNUMBER($A5),Led!F2,"")</f>
        <v>7</v>
      </c>
      <c r="D5" s="703" t="str">
        <f>Led!CS2</f>
        <v>1-07</v>
      </c>
      <c r="E5" s="808"/>
      <c r="F5" s="808"/>
      <c r="G5" s="808"/>
      <c r="H5" s="808"/>
      <c r="I5" s="808"/>
      <c r="J5" s="596" t="str">
        <f t="shared" ref="J5:J36" si="0">IF(ISNUMBER(E5),10000*E5/G$2,"")</f>
        <v/>
      </c>
    </row>
    <row r="6" spans="1:10" x14ac:dyDescent="0.2">
      <c r="A6" s="806">
        <f>IF(ISNUMBER(Led!D3),Led!D3,"")</f>
        <v>2</v>
      </c>
      <c r="B6" s="807">
        <f>IF(ISNUMBER($A6),Led!E3,"")</f>
        <v>1</v>
      </c>
      <c r="C6" s="807">
        <f>IF(ISNUMBER(A6),Led!F3,"")</f>
        <v>4</v>
      </c>
      <c r="D6" s="703" t="str">
        <f>Led!CS3</f>
        <v>1-04</v>
      </c>
      <c r="E6" s="808"/>
      <c r="F6" s="808"/>
      <c r="G6" s="808"/>
      <c r="H6" s="808"/>
      <c r="I6" s="808"/>
      <c r="J6" s="596" t="str">
        <f t="shared" si="0"/>
        <v/>
      </c>
    </row>
    <row r="7" spans="1:10" x14ac:dyDescent="0.2">
      <c r="A7" s="806">
        <f>IF(ISNUMBER(Led!D4),Led!D4,"")</f>
        <v>3</v>
      </c>
      <c r="B7" s="807">
        <f>IF(ISNUMBER($A7),Led!E4,"")</f>
        <v>1</v>
      </c>
      <c r="C7" s="807">
        <f>IF(ISNUMBER(A7),Led!F4,"")</f>
        <v>3</v>
      </c>
      <c r="D7" s="703" t="str">
        <f>Led!CS4</f>
        <v>1-03</v>
      </c>
      <c r="E7" s="808"/>
      <c r="F7" s="808"/>
      <c r="G7" s="808"/>
      <c r="H7" s="808"/>
      <c r="I7" s="808"/>
      <c r="J7" s="596" t="str">
        <f t="shared" si="0"/>
        <v/>
      </c>
    </row>
    <row r="8" spans="1:10" x14ac:dyDescent="0.2">
      <c r="A8" s="806">
        <f>IF(ISNUMBER(Led!D5),Led!D5,"")</f>
        <v>4</v>
      </c>
      <c r="B8" s="807">
        <f>IF(ISNUMBER($A8),Led!E5,"")</f>
        <v>1</v>
      </c>
      <c r="C8" s="807">
        <f>IF(ISNUMBER(A8),Led!F5,"")</f>
        <v>1</v>
      </c>
      <c r="D8" s="703" t="str">
        <f>Led!CS5</f>
        <v>1-01</v>
      </c>
      <c r="E8" s="808"/>
      <c r="F8" s="808"/>
      <c r="G8" s="808"/>
      <c r="H8" s="808"/>
      <c r="I8" s="808"/>
      <c r="J8" s="596" t="str">
        <f t="shared" si="0"/>
        <v/>
      </c>
    </row>
    <row r="9" spans="1:10" x14ac:dyDescent="0.2">
      <c r="A9" s="806">
        <f>IF(ISNUMBER(Led!D6),Led!D6,"")</f>
        <v>5</v>
      </c>
      <c r="B9" s="807">
        <f>IF(ISNUMBER($A9),Led!E6,"")</f>
        <v>1</v>
      </c>
      <c r="C9" s="807">
        <f>IF(ISNUMBER(A9),Led!F6,"")</f>
        <v>3</v>
      </c>
      <c r="D9" s="703" t="str">
        <f>Led!CS6</f>
        <v>1-03</v>
      </c>
      <c r="E9" s="808"/>
      <c r="F9" s="808"/>
      <c r="G9" s="808"/>
      <c r="H9" s="808"/>
      <c r="I9" s="808"/>
      <c r="J9" s="596" t="str">
        <f t="shared" si="0"/>
        <v/>
      </c>
    </row>
    <row r="10" spans="1:10" x14ac:dyDescent="0.2">
      <c r="A10" s="806">
        <f>IF(ISNUMBER(Led!D7),Led!D7,"")</f>
        <v>6</v>
      </c>
      <c r="B10" s="807">
        <f>IF(ISNUMBER($A10),Led!E7,"")</f>
        <v>1</v>
      </c>
      <c r="C10" s="807">
        <f>IF(ISNUMBER(A10),Led!F7,"")</f>
        <v>5</v>
      </c>
      <c r="D10" s="703" t="str">
        <f>Led!CS7</f>
        <v>1-05</v>
      </c>
      <c r="E10" s="808"/>
      <c r="F10" s="808"/>
      <c r="G10" s="808"/>
      <c r="H10" s="808"/>
      <c r="I10" s="808"/>
      <c r="J10" s="596" t="str">
        <f t="shared" si="0"/>
        <v/>
      </c>
    </row>
    <row r="11" spans="1:10" x14ac:dyDescent="0.2">
      <c r="A11" s="806">
        <f>IF(ISNUMBER(Led!D8),Led!D8,"")</f>
        <v>7</v>
      </c>
      <c r="B11" s="807">
        <f>IF(ISNUMBER($A11),Led!E8,"")</f>
        <v>1</v>
      </c>
      <c r="C11" s="807">
        <f>IF(ISNUMBER(A11),Led!F8,"")</f>
        <v>2</v>
      </c>
      <c r="D11" s="703" t="str">
        <f>Led!CS8</f>
        <v>1-02</v>
      </c>
      <c r="E11" s="808"/>
      <c r="F11" s="808"/>
      <c r="G11" s="808"/>
      <c r="H11" s="808"/>
      <c r="I11" s="808"/>
      <c r="J11" s="596" t="str">
        <f t="shared" si="0"/>
        <v/>
      </c>
    </row>
    <row r="12" spans="1:10" x14ac:dyDescent="0.2">
      <c r="A12" s="806">
        <f>IF(ISNUMBER(Led!D9),Led!D9,"")</f>
        <v>8</v>
      </c>
      <c r="B12" s="807">
        <f>IF(ISNUMBER($A12),Led!E9,"")</f>
        <v>2</v>
      </c>
      <c r="C12" s="807">
        <f>IF(ISNUMBER(A12),Led!F9,"")</f>
        <v>3</v>
      </c>
      <c r="D12" s="703" t="str">
        <f>Led!CS9</f>
        <v>2-03</v>
      </c>
      <c r="E12" s="808"/>
      <c r="F12" s="808"/>
      <c r="G12" s="808"/>
      <c r="H12" s="808"/>
      <c r="I12" s="808"/>
      <c r="J12" s="596" t="str">
        <f t="shared" si="0"/>
        <v/>
      </c>
    </row>
    <row r="13" spans="1:10" x14ac:dyDescent="0.2">
      <c r="A13" s="806">
        <f>IF(ISNUMBER(Led!D10),Led!D10,"")</f>
        <v>9</v>
      </c>
      <c r="B13" s="807">
        <f>IF(ISNUMBER($A13),Led!E10,"")</f>
        <v>2</v>
      </c>
      <c r="C13" s="807">
        <f>IF(ISNUMBER(A13),Led!F10,"")</f>
        <v>6</v>
      </c>
      <c r="D13" s="703" t="str">
        <f>Led!CS10</f>
        <v>2-06</v>
      </c>
      <c r="E13" s="808"/>
      <c r="F13" s="808"/>
      <c r="G13" s="808"/>
      <c r="H13" s="808"/>
      <c r="I13" s="808"/>
      <c r="J13" s="596" t="str">
        <f t="shared" si="0"/>
        <v/>
      </c>
    </row>
    <row r="14" spans="1:10" x14ac:dyDescent="0.2">
      <c r="A14" s="806">
        <f>IF(ISNUMBER(Led!D11),Led!D11,"")</f>
        <v>10</v>
      </c>
      <c r="B14" s="807">
        <f>IF(ISNUMBER($A14),Led!E11,"")</f>
        <v>2</v>
      </c>
      <c r="C14" s="807">
        <f>IF(ISNUMBER(A14),Led!F11,"")</f>
        <v>2</v>
      </c>
      <c r="D14" s="703" t="str">
        <f>Led!CS11</f>
        <v>2-02</v>
      </c>
      <c r="E14" s="808"/>
      <c r="F14" s="808"/>
      <c r="G14" s="808"/>
      <c r="H14" s="808"/>
      <c r="I14" s="808"/>
      <c r="J14" s="596" t="str">
        <f t="shared" si="0"/>
        <v/>
      </c>
    </row>
    <row r="15" spans="1:10" x14ac:dyDescent="0.2">
      <c r="A15" s="806">
        <f>IF(ISNUMBER(Led!D12),Led!D12,"")</f>
        <v>11</v>
      </c>
      <c r="B15" s="807">
        <f>IF(ISNUMBER($A15),Led!E12,"")</f>
        <v>2</v>
      </c>
      <c r="C15" s="807">
        <f>IF(ISNUMBER(A15),Led!F12,"")</f>
        <v>7</v>
      </c>
      <c r="D15" s="703" t="str">
        <f>Led!CS12</f>
        <v>2-07</v>
      </c>
      <c r="E15" s="808"/>
      <c r="F15" s="808"/>
      <c r="G15" s="808"/>
      <c r="H15" s="808"/>
      <c r="I15" s="808"/>
      <c r="J15" s="596" t="str">
        <f t="shared" si="0"/>
        <v/>
      </c>
    </row>
    <row r="16" spans="1:10" x14ac:dyDescent="0.2">
      <c r="A16" s="806">
        <f>IF(ISNUMBER(Led!D13),Led!D13,"")</f>
        <v>12</v>
      </c>
      <c r="B16" s="807">
        <f>IF(ISNUMBER($A16),Led!E13,"")</f>
        <v>2</v>
      </c>
      <c r="C16" s="807">
        <f>IF(ISNUMBER(A16),Led!F13,"")</f>
        <v>4</v>
      </c>
      <c r="D16" s="703" t="str">
        <f>Led!CS13</f>
        <v>2-04</v>
      </c>
      <c r="E16" s="808"/>
      <c r="F16" s="808"/>
      <c r="G16" s="808"/>
      <c r="H16" s="808"/>
      <c r="I16" s="808"/>
      <c r="J16" s="596" t="str">
        <f t="shared" si="0"/>
        <v/>
      </c>
    </row>
    <row r="17" spans="1:10" x14ac:dyDescent="0.2">
      <c r="A17" s="806">
        <f>IF(ISNUMBER(Led!D14),Led!D14,"")</f>
        <v>13</v>
      </c>
      <c r="B17" s="807">
        <f>IF(ISNUMBER($A17),Led!E14,"")</f>
        <v>2</v>
      </c>
      <c r="C17" s="807">
        <f>IF(ISNUMBER(A17),Led!F14,"")</f>
        <v>1</v>
      </c>
      <c r="D17" s="703" t="str">
        <f>Led!CS14</f>
        <v>2-01</v>
      </c>
      <c r="E17" s="808"/>
      <c r="F17" s="808"/>
      <c r="G17" s="808"/>
      <c r="H17" s="808"/>
      <c r="I17" s="808"/>
      <c r="J17" s="596" t="str">
        <f t="shared" si="0"/>
        <v/>
      </c>
    </row>
    <row r="18" spans="1:10" x14ac:dyDescent="0.2">
      <c r="A18" s="806">
        <f>IF(ISNUMBER(Led!D15),Led!D15,"")</f>
        <v>14</v>
      </c>
      <c r="B18" s="807">
        <f>IF(ISNUMBER($A18),Led!E15,"")</f>
        <v>2</v>
      </c>
      <c r="C18" s="807">
        <f>IF(ISNUMBER(A18),Led!F15,"")</f>
        <v>5</v>
      </c>
      <c r="D18" s="703" t="str">
        <f>Led!CS15</f>
        <v>2-05</v>
      </c>
      <c r="E18" s="808"/>
      <c r="F18" s="808"/>
      <c r="G18" s="808"/>
      <c r="H18" s="808"/>
      <c r="I18" s="808"/>
      <c r="J18" s="596" t="str">
        <f t="shared" si="0"/>
        <v/>
      </c>
    </row>
    <row r="19" spans="1:10" x14ac:dyDescent="0.2">
      <c r="A19" s="806">
        <f>IF(ISNUMBER(Led!D16),Led!D16,"")</f>
        <v>15</v>
      </c>
      <c r="B19" s="807">
        <f>IF(ISNUMBER($A19),Led!E16,"")</f>
        <v>3</v>
      </c>
      <c r="C19" s="807">
        <f>IF(ISNUMBER(A19),Led!F16,"")</f>
        <v>1</v>
      </c>
      <c r="D19" s="703" t="str">
        <f>Led!CS16</f>
        <v>3-01</v>
      </c>
      <c r="E19" s="808"/>
      <c r="F19" s="808"/>
      <c r="G19" s="808"/>
      <c r="H19" s="808"/>
      <c r="I19" s="808"/>
      <c r="J19" s="596" t="str">
        <f t="shared" si="0"/>
        <v/>
      </c>
    </row>
    <row r="20" spans="1:10" x14ac:dyDescent="0.2">
      <c r="A20" s="806">
        <f>IF(ISNUMBER(Led!D17),Led!D17,"")</f>
        <v>16</v>
      </c>
      <c r="B20" s="807">
        <f>IF(ISNUMBER($A20),Led!E17,"")</f>
        <v>3</v>
      </c>
      <c r="C20" s="807">
        <f>IF(ISNUMBER(A20),Led!F17,"")</f>
        <v>2</v>
      </c>
      <c r="D20" s="703" t="str">
        <f>Led!CS17</f>
        <v>3-02</v>
      </c>
      <c r="E20" s="808"/>
      <c r="F20" s="808"/>
      <c r="G20" s="808"/>
      <c r="H20" s="808"/>
      <c r="I20" s="808"/>
      <c r="J20" s="596" t="str">
        <f t="shared" si="0"/>
        <v/>
      </c>
    </row>
    <row r="21" spans="1:10" x14ac:dyDescent="0.2">
      <c r="A21" s="806">
        <f>IF(ISNUMBER(Led!D18),Led!D18,"")</f>
        <v>17</v>
      </c>
      <c r="B21" s="807">
        <f>IF(ISNUMBER($A21),Led!E18,"")</f>
        <v>3</v>
      </c>
      <c r="C21" s="807">
        <f>IF(ISNUMBER(A21),Led!F18,"")</f>
        <v>6</v>
      </c>
      <c r="D21" s="703" t="str">
        <f>Led!CS18</f>
        <v>3-06</v>
      </c>
      <c r="E21" s="808"/>
      <c r="F21" s="808"/>
      <c r="G21" s="808"/>
      <c r="H21" s="808"/>
      <c r="I21" s="808"/>
      <c r="J21" s="596" t="str">
        <f t="shared" si="0"/>
        <v/>
      </c>
    </row>
    <row r="22" spans="1:10" x14ac:dyDescent="0.2">
      <c r="A22" s="806">
        <f>IF(ISNUMBER(Led!D19),Led!D19,"")</f>
        <v>18</v>
      </c>
      <c r="B22" s="807">
        <f>IF(ISNUMBER($A22),Led!E19,"")</f>
        <v>3</v>
      </c>
      <c r="C22" s="807">
        <f>IF(ISNUMBER(A22),Led!F19,"")</f>
        <v>5</v>
      </c>
      <c r="D22" s="703" t="str">
        <f>Led!CS19</f>
        <v>3-05</v>
      </c>
      <c r="E22" s="808"/>
      <c r="F22" s="808"/>
      <c r="G22" s="808"/>
      <c r="H22" s="808"/>
      <c r="I22" s="808"/>
      <c r="J22" s="596" t="str">
        <f t="shared" si="0"/>
        <v/>
      </c>
    </row>
    <row r="23" spans="1:10" x14ac:dyDescent="0.2">
      <c r="A23" s="806">
        <f>IF(ISNUMBER(Led!D20),Led!D20,"")</f>
        <v>19</v>
      </c>
      <c r="B23" s="807">
        <f>IF(ISNUMBER($A23),Led!E20,"")</f>
        <v>3</v>
      </c>
      <c r="C23" s="807">
        <f>IF(ISNUMBER(A23),Led!F20,"")</f>
        <v>6</v>
      </c>
      <c r="D23" s="703" t="str">
        <f>Led!CS20</f>
        <v>3-06</v>
      </c>
      <c r="E23" s="808"/>
      <c r="F23" s="808"/>
      <c r="G23" s="808"/>
      <c r="H23" s="808"/>
      <c r="I23" s="808"/>
      <c r="J23" s="596" t="str">
        <f t="shared" si="0"/>
        <v/>
      </c>
    </row>
    <row r="24" spans="1:10" x14ac:dyDescent="0.2">
      <c r="A24" s="806">
        <f>IF(ISNUMBER(Led!D21),Led!D21,"")</f>
        <v>20</v>
      </c>
      <c r="B24" s="807">
        <f>IF(ISNUMBER($A24),Led!E21,"")</f>
        <v>3</v>
      </c>
      <c r="C24" s="807">
        <f>IF(ISNUMBER(A24),Led!F21,"")</f>
        <v>7</v>
      </c>
      <c r="D24" s="703" t="str">
        <f>Led!CS21</f>
        <v>3-07</v>
      </c>
      <c r="E24" s="808"/>
      <c r="F24" s="808"/>
      <c r="G24" s="808"/>
      <c r="H24" s="808"/>
      <c r="I24" s="808"/>
      <c r="J24" s="596" t="str">
        <f t="shared" si="0"/>
        <v/>
      </c>
    </row>
    <row r="25" spans="1:10" x14ac:dyDescent="0.2">
      <c r="A25" s="806">
        <f>IF(ISNUMBER(Led!D22),Led!D22,"")</f>
        <v>21</v>
      </c>
      <c r="B25" s="807">
        <f>IF(ISNUMBER($A25),Led!E22,"")</f>
        <v>3</v>
      </c>
      <c r="C25" s="807">
        <f>IF(ISNUMBER(A25),Led!F22,"")</f>
        <v>4</v>
      </c>
      <c r="D25" s="703" t="str">
        <f>Led!CS22</f>
        <v>3-04</v>
      </c>
      <c r="E25" s="808"/>
      <c r="F25" s="808"/>
      <c r="G25" s="808"/>
      <c r="H25" s="808"/>
      <c r="I25" s="808"/>
      <c r="J25" s="596" t="str">
        <f t="shared" si="0"/>
        <v/>
      </c>
    </row>
    <row r="26" spans="1:10" x14ac:dyDescent="0.2">
      <c r="A26" s="806">
        <f>IF(ISNUMBER(Led!D23),Led!D23,"")</f>
        <v>22</v>
      </c>
      <c r="B26" s="807">
        <f>IF(ISNUMBER($A26),Led!E23,"")</f>
        <v>4</v>
      </c>
      <c r="C26" s="807">
        <f>IF(ISNUMBER(A26),Led!F23,"")</f>
        <v>5</v>
      </c>
      <c r="D26" s="703" t="str">
        <f>Led!CS23</f>
        <v>4-05</v>
      </c>
      <c r="E26" s="808"/>
      <c r="F26" s="808"/>
      <c r="G26" s="808"/>
      <c r="H26" s="808"/>
      <c r="I26" s="808"/>
      <c r="J26" s="596" t="str">
        <f t="shared" si="0"/>
        <v/>
      </c>
    </row>
    <row r="27" spans="1:10" x14ac:dyDescent="0.2">
      <c r="A27" s="806">
        <f>IF(ISNUMBER(Led!D24),Led!D24,"")</f>
        <v>23</v>
      </c>
      <c r="B27" s="807">
        <f>IF(ISNUMBER($A27),Led!E24,"")</f>
        <v>4</v>
      </c>
      <c r="C27" s="807">
        <f>IF(ISNUMBER(A27),Led!F24,"")</f>
        <v>7</v>
      </c>
      <c r="D27" s="703" t="str">
        <f>Led!CS24</f>
        <v>4-07</v>
      </c>
      <c r="E27" s="808"/>
      <c r="F27" s="808"/>
      <c r="G27" s="808"/>
      <c r="H27" s="808"/>
      <c r="I27" s="808"/>
      <c r="J27" s="596" t="str">
        <f t="shared" si="0"/>
        <v/>
      </c>
    </row>
    <row r="28" spans="1:10" x14ac:dyDescent="0.2">
      <c r="A28" s="806">
        <f>IF(ISNUMBER(Led!D25),Led!D25,"")</f>
        <v>24</v>
      </c>
      <c r="B28" s="807">
        <f>IF(ISNUMBER($A28),Led!E25,"")</f>
        <v>4</v>
      </c>
      <c r="C28" s="807">
        <f>IF(ISNUMBER(A28),Led!F25,"")</f>
        <v>1</v>
      </c>
      <c r="D28" s="703" t="str">
        <f>Led!CS25</f>
        <v>4-01</v>
      </c>
      <c r="E28" s="808"/>
      <c r="F28" s="808"/>
      <c r="G28" s="808"/>
      <c r="H28" s="808"/>
      <c r="I28" s="808"/>
      <c r="J28" s="596" t="str">
        <f t="shared" si="0"/>
        <v/>
      </c>
    </row>
    <row r="29" spans="1:10" x14ac:dyDescent="0.2">
      <c r="A29" s="806">
        <f>IF(ISNUMBER(Led!D26),Led!D26,"")</f>
        <v>25</v>
      </c>
      <c r="B29" s="807">
        <f>IF(ISNUMBER($A29),Led!E26,"")</f>
        <v>4</v>
      </c>
      <c r="C29" s="807">
        <f>IF(ISNUMBER(A29),Led!F26,"")</f>
        <v>4</v>
      </c>
      <c r="D29" s="703" t="str">
        <f>Led!CS26</f>
        <v>4-04</v>
      </c>
      <c r="E29" s="808"/>
      <c r="F29" s="808"/>
      <c r="G29" s="808"/>
      <c r="H29" s="808"/>
      <c r="I29" s="808"/>
      <c r="J29" s="596" t="str">
        <f t="shared" si="0"/>
        <v/>
      </c>
    </row>
    <row r="30" spans="1:10" x14ac:dyDescent="0.2">
      <c r="A30" s="806">
        <f>IF(ISNUMBER(Led!D27),Led!D27,"")</f>
        <v>26</v>
      </c>
      <c r="B30" s="807">
        <f>IF(ISNUMBER($A30),Led!E27,"")</f>
        <v>4</v>
      </c>
      <c r="C30" s="807">
        <f>IF(ISNUMBER(A30),Led!F27,"")</f>
        <v>2</v>
      </c>
      <c r="D30" s="703" t="str">
        <f>Led!CS27</f>
        <v>4-02</v>
      </c>
      <c r="E30" s="808"/>
      <c r="F30" s="808"/>
      <c r="G30" s="808"/>
      <c r="H30" s="808"/>
      <c r="I30" s="808"/>
      <c r="J30" s="596" t="str">
        <f t="shared" si="0"/>
        <v/>
      </c>
    </row>
    <row r="31" spans="1:10" x14ac:dyDescent="0.2">
      <c r="A31" s="806">
        <f>IF(ISNUMBER(Led!D28),Led!D28,"")</f>
        <v>27</v>
      </c>
      <c r="B31" s="807">
        <f>IF(ISNUMBER($A31),Led!E28,"")</f>
        <v>4</v>
      </c>
      <c r="C31" s="807">
        <f>IF(ISNUMBER(A31),Led!F28,"")</f>
        <v>6</v>
      </c>
      <c r="D31" s="703" t="str">
        <f>Led!CS28</f>
        <v>4-06</v>
      </c>
      <c r="E31" s="808"/>
      <c r="F31" s="808"/>
      <c r="G31" s="808"/>
      <c r="H31" s="808"/>
      <c r="I31" s="808"/>
      <c r="J31" s="596" t="str">
        <f t="shared" si="0"/>
        <v/>
      </c>
    </row>
    <row r="32" spans="1:10" x14ac:dyDescent="0.2">
      <c r="A32" s="806">
        <f>IF(ISNUMBER(Led!D29),Led!D29,"")</f>
        <v>28</v>
      </c>
      <c r="B32" s="807">
        <f>IF(ISNUMBER($A32),Led!E29,"")</f>
        <v>4</v>
      </c>
      <c r="C32" s="807">
        <f>IF(ISNUMBER(A32),Led!F29,"")</f>
        <v>3</v>
      </c>
      <c r="D32" s="703" t="str">
        <f>Led!CS29</f>
        <v>4-03</v>
      </c>
      <c r="E32" s="808"/>
      <c r="F32" s="808"/>
      <c r="G32" s="808"/>
      <c r="H32" s="808"/>
      <c r="I32" s="808"/>
      <c r="J32" s="596" t="str">
        <f t="shared" si="0"/>
        <v/>
      </c>
    </row>
    <row r="33" spans="1:10" x14ac:dyDescent="0.2">
      <c r="A33" s="806" t="str">
        <f>IF(ISNUMBER(Led!D30),Led!D30,"")</f>
        <v/>
      </c>
      <c r="B33" s="807" t="str">
        <f>IF(ISNUMBER($A33),Led!E30,"")</f>
        <v/>
      </c>
      <c r="C33" s="807" t="str">
        <f>IF(ISNUMBER(A33),Led!F30,"")</f>
        <v/>
      </c>
      <c r="D33" s="703" t="str">
        <f>Led!CS30</f>
        <v/>
      </c>
      <c r="E33" s="808"/>
      <c r="F33" s="808"/>
      <c r="G33" s="808"/>
      <c r="H33" s="808"/>
      <c r="I33" s="808"/>
      <c r="J33" s="596" t="str">
        <f t="shared" si="0"/>
        <v/>
      </c>
    </row>
    <row r="34" spans="1:10" x14ac:dyDescent="0.2">
      <c r="A34" s="806" t="str">
        <f>IF(ISNUMBER(Led!D31),Led!D31,"")</f>
        <v/>
      </c>
      <c r="B34" s="807" t="str">
        <f>IF(ISNUMBER($A34),Led!E31,"")</f>
        <v/>
      </c>
      <c r="C34" s="807" t="str">
        <f>IF(ISNUMBER(A34),Led!F31,"")</f>
        <v/>
      </c>
      <c r="D34" s="703" t="str">
        <f>Led!CS31</f>
        <v/>
      </c>
      <c r="E34" s="808"/>
      <c r="F34" s="808"/>
      <c r="G34" s="808"/>
      <c r="H34" s="808"/>
      <c r="I34" s="808"/>
      <c r="J34" s="596" t="str">
        <f t="shared" si="0"/>
        <v/>
      </c>
    </row>
    <row r="35" spans="1:10" x14ac:dyDescent="0.2">
      <c r="A35" s="806" t="str">
        <f>IF(ISNUMBER(Led!D32),Led!D32,"")</f>
        <v/>
      </c>
      <c r="B35" s="807" t="str">
        <f>IF(ISNUMBER($A35),Led!E32,"")</f>
        <v/>
      </c>
      <c r="C35" s="807" t="str">
        <f>IF(ISNUMBER(A35),Led!F32,"")</f>
        <v/>
      </c>
      <c r="D35" s="703" t="str">
        <f>Led!CS32</f>
        <v/>
      </c>
      <c r="E35" s="808"/>
      <c r="F35" s="808"/>
      <c r="G35" s="808"/>
      <c r="H35" s="808"/>
      <c r="I35" s="808"/>
      <c r="J35" s="596" t="str">
        <f t="shared" si="0"/>
        <v/>
      </c>
    </row>
    <row r="36" spans="1:10" x14ac:dyDescent="0.2">
      <c r="A36" s="806" t="str">
        <f>IF(ISNUMBER(Led!D33),Led!D33,"")</f>
        <v/>
      </c>
      <c r="B36" s="807" t="str">
        <f>IF(ISNUMBER($A36),Led!E33,"")</f>
        <v/>
      </c>
      <c r="C36" s="807" t="str">
        <f>IF(ISNUMBER(A36),Led!F33,"")</f>
        <v/>
      </c>
      <c r="D36" s="703" t="str">
        <f>Led!CS33</f>
        <v/>
      </c>
      <c r="E36" s="808"/>
      <c r="F36" s="808"/>
      <c r="G36" s="808"/>
      <c r="H36" s="808"/>
      <c r="I36" s="808"/>
      <c r="J36" s="596" t="str">
        <f t="shared" si="0"/>
        <v/>
      </c>
    </row>
    <row r="37" spans="1:10" x14ac:dyDescent="0.2">
      <c r="A37" s="806" t="str">
        <f>IF(ISNUMBER(Led!D34),Led!D34,"")</f>
        <v/>
      </c>
      <c r="B37" s="807" t="str">
        <f>IF(ISNUMBER($A37),Led!E34,"")</f>
        <v/>
      </c>
      <c r="C37" s="807" t="str">
        <f>IF(ISNUMBER(A37),Led!F34,"")</f>
        <v/>
      </c>
      <c r="D37" s="703" t="str">
        <f>Led!CS34</f>
        <v/>
      </c>
      <c r="E37" s="808"/>
      <c r="F37" s="808"/>
      <c r="G37" s="808"/>
      <c r="H37" s="808"/>
      <c r="I37" s="808"/>
      <c r="J37" s="596" t="str">
        <f t="shared" ref="J37:J72" si="1">IF(ISNUMBER(E37),10000*E37/G$2,"")</f>
        <v/>
      </c>
    </row>
    <row r="38" spans="1:10" x14ac:dyDescent="0.2">
      <c r="A38" s="806" t="str">
        <f>IF(ISNUMBER(Led!D35),Led!D35,"")</f>
        <v/>
      </c>
      <c r="B38" s="807" t="str">
        <f>IF(ISNUMBER($A38),Led!E35,"")</f>
        <v/>
      </c>
      <c r="C38" s="807" t="str">
        <f>IF(ISNUMBER(A38),Led!F35,"")</f>
        <v/>
      </c>
      <c r="D38" s="703" t="str">
        <f>Led!CS35</f>
        <v/>
      </c>
      <c r="E38" s="808"/>
      <c r="F38" s="808"/>
      <c r="G38" s="808"/>
      <c r="H38" s="808"/>
      <c r="I38" s="808"/>
      <c r="J38" s="596" t="str">
        <f t="shared" si="1"/>
        <v/>
      </c>
    </row>
    <row r="39" spans="1:10" x14ac:dyDescent="0.2">
      <c r="A39" s="806" t="str">
        <f>IF(ISNUMBER(Led!D36),Led!D36,"")</f>
        <v/>
      </c>
      <c r="B39" s="807" t="str">
        <f>IF(ISNUMBER($A39),Led!E36,"")</f>
        <v/>
      </c>
      <c r="C39" s="807" t="str">
        <f>IF(ISNUMBER(A39),Led!F36,"")</f>
        <v/>
      </c>
      <c r="D39" s="703" t="str">
        <f>Led!CS36</f>
        <v/>
      </c>
      <c r="E39" s="808"/>
      <c r="F39" s="808"/>
      <c r="G39" s="808"/>
      <c r="H39" s="808"/>
      <c r="I39" s="808"/>
      <c r="J39" s="596" t="str">
        <f t="shared" si="1"/>
        <v/>
      </c>
    </row>
    <row r="40" spans="1:10" x14ac:dyDescent="0.2">
      <c r="A40" s="806" t="str">
        <f>IF(ISNUMBER(Led!D37),Led!D37,"")</f>
        <v/>
      </c>
      <c r="B40" s="807" t="str">
        <f>IF(ISNUMBER($A40),Led!E37,"")</f>
        <v/>
      </c>
      <c r="C40" s="807" t="str">
        <f>IF(ISNUMBER(A40),Led!F37,"")</f>
        <v/>
      </c>
      <c r="D40" s="703" t="str">
        <f>Led!CS37</f>
        <v/>
      </c>
      <c r="E40" s="808"/>
      <c r="F40" s="808"/>
      <c r="G40" s="808"/>
      <c r="H40" s="808"/>
      <c r="I40" s="808"/>
      <c r="J40" s="596" t="str">
        <f t="shared" si="1"/>
        <v/>
      </c>
    </row>
    <row r="41" spans="1:10" x14ac:dyDescent="0.2">
      <c r="A41" s="806" t="str">
        <f>IF(ISNUMBER(Led!D38),Led!D38,"")</f>
        <v/>
      </c>
      <c r="B41" s="807" t="str">
        <f>IF(ISNUMBER($A41),Led!E38,"")</f>
        <v/>
      </c>
      <c r="C41" s="807" t="str">
        <f>IF(ISNUMBER(A41),Led!F38,"")</f>
        <v/>
      </c>
      <c r="D41" s="703" t="str">
        <f>Led!CS38</f>
        <v/>
      </c>
      <c r="E41" s="808"/>
      <c r="F41" s="808"/>
      <c r="G41" s="808"/>
      <c r="H41" s="808"/>
      <c r="I41" s="808"/>
      <c r="J41" s="596" t="str">
        <f t="shared" si="1"/>
        <v/>
      </c>
    </row>
    <row r="42" spans="1:10" x14ac:dyDescent="0.2">
      <c r="A42" s="806" t="str">
        <f>IF(ISNUMBER(Led!D39),Led!D39,"")</f>
        <v/>
      </c>
      <c r="B42" s="807" t="str">
        <f>IF(ISNUMBER($A42),Led!E39,"")</f>
        <v/>
      </c>
      <c r="C42" s="807" t="str">
        <f>IF(ISNUMBER(A42),Led!F39,"")</f>
        <v/>
      </c>
      <c r="D42" s="703" t="str">
        <f>Led!CS39</f>
        <v/>
      </c>
      <c r="E42" s="808"/>
      <c r="F42" s="808"/>
      <c r="G42" s="808"/>
      <c r="H42" s="808"/>
      <c r="I42" s="808"/>
      <c r="J42" s="596" t="str">
        <f t="shared" si="1"/>
        <v/>
      </c>
    </row>
    <row r="43" spans="1:10" x14ac:dyDescent="0.2">
      <c r="A43" s="806" t="str">
        <f>IF(ISNUMBER(Led!D40),Led!D40,"")</f>
        <v/>
      </c>
      <c r="B43" s="807" t="str">
        <f>IF(ISNUMBER($A43),Led!E40,"")</f>
        <v/>
      </c>
      <c r="C43" s="807" t="str">
        <f>IF(ISNUMBER(A43),Led!F40,"")</f>
        <v/>
      </c>
      <c r="D43" s="703" t="str">
        <f>Led!CS40</f>
        <v/>
      </c>
      <c r="E43" s="808"/>
      <c r="F43" s="808"/>
      <c r="G43" s="808"/>
      <c r="H43" s="808"/>
      <c r="I43" s="808"/>
      <c r="J43" s="596" t="str">
        <f t="shared" si="1"/>
        <v/>
      </c>
    </row>
    <row r="44" spans="1:10" x14ac:dyDescent="0.2">
      <c r="A44" s="806" t="str">
        <f>IF(ISNUMBER(Led!D41),Led!D41,"")</f>
        <v/>
      </c>
      <c r="B44" s="807" t="str">
        <f>IF(ISNUMBER($A44),Led!E41,"")</f>
        <v/>
      </c>
      <c r="C44" s="807" t="str">
        <f>IF(ISNUMBER(A44),Led!F41,"")</f>
        <v/>
      </c>
      <c r="D44" s="703" t="str">
        <f>Led!CS41</f>
        <v/>
      </c>
      <c r="E44" s="808"/>
      <c r="F44" s="808"/>
      <c r="G44" s="808"/>
      <c r="H44" s="808"/>
      <c r="I44" s="808"/>
      <c r="J44" s="596" t="str">
        <f t="shared" si="1"/>
        <v/>
      </c>
    </row>
    <row r="45" spans="1:10" x14ac:dyDescent="0.2">
      <c r="A45" s="806" t="str">
        <f>IF(ISNUMBER(Led!D42),Led!D42,"")</f>
        <v/>
      </c>
      <c r="B45" s="807" t="str">
        <f>IF(ISNUMBER($A45),Led!E42,"")</f>
        <v/>
      </c>
      <c r="C45" s="807" t="str">
        <f>IF(ISNUMBER(A45),Led!F42,"")</f>
        <v/>
      </c>
      <c r="D45" s="703" t="str">
        <f>Led!CS42</f>
        <v/>
      </c>
      <c r="E45" s="808"/>
      <c r="F45" s="808"/>
      <c r="G45" s="808"/>
      <c r="H45" s="808"/>
      <c r="I45" s="808"/>
      <c r="J45" s="596" t="str">
        <f t="shared" si="1"/>
        <v/>
      </c>
    </row>
    <row r="46" spans="1:10" x14ac:dyDescent="0.2">
      <c r="A46" s="806" t="str">
        <f>IF(ISNUMBER(Led!D43),Led!D43,"")</f>
        <v/>
      </c>
      <c r="B46" s="807" t="str">
        <f>IF(ISNUMBER($A46),Led!E43,"")</f>
        <v/>
      </c>
      <c r="C46" s="807" t="str">
        <f>IF(ISNUMBER(A46),Led!F43,"")</f>
        <v/>
      </c>
      <c r="D46" s="703" t="str">
        <f>Led!CS43</f>
        <v/>
      </c>
      <c r="E46" s="808"/>
      <c r="F46" s="808"/>
      <c r="G46" s="808"/>
      <c r="H46" s="808"/>
      <c r="I46" s="808"/>
      <c r="J46" s="596" t="str">
        <f t="shared" si="1"/>
        <v/>
      </c>
    </row>
    <row r="47" spans="1:10" x14ac:dyDescent="0.2">
      <c r="A47" s="806" t="str">
        <f>IF(ISNUMBER(Led!D44),Led!D44,"")</f>
        <v/>
      </c>
      <c r="B47" s="807" t="str">
        <f>IF(ISNUMBER($A47),Led!E44,"")</f>
        <v/>
      </c>
      <c r="C47" s="807" t="str">
        <f>IF(ISNUMBER(A47),Led!F44,"")</f>
        <v/>
      </c>
      <c r="D47" s="703" t="str">
        <f>Led!CS44</f>
        <v/>
      </c>
      <c r="E47" s="808"/>
      <c r="F47" s="808"/>
      <c r="G47" s="808"/>
      <c r="H47" s="808"/>
      <c r="I47" s="808"/>
      <c r="J47" s="596" t="str">
        <f t="shared" si="1"/>
        <v/>
      </c>
    </row>
    <row r="48" spans="1:10" x14ac:dyDescent="0.2">
      <c r="A48" s="806" t="str">
        <f>IF(ISNUMBER(Led!D45),Led!D45,"")</f>
        <v/>
      </c>
      <c r="B48" s="807" t="str">
        <f>IF(ISNUMBER($A48),Led!E45,"")</f>
        <v/>
      </c>
      <c r="C48" s="807" t="str">
        <f>IF(ISNUMBER(A48),Led!F45,"")</f>
        <v/>
      </c>
      <c r="D48" s="703" t="str">
        <f>Led!CS45</f>
        <v/>
      </c>
      <c r="E48" s="808"/>
      <c r="F48" s="808"/>
      <c r="G48" s="808"/>
      <c r="H48" s="808"/>
      <c r="I48" s="808"/>
      <c r="J48" s="596" t="str">
        <f t="shared" si="1"/>
        <v/>
      </c>
    </row>
    <row r="49" spans="1:10" x14ac:dyDescent="0.2">
      <c r="A49" s="806" t="str">
        <f>IF(ISNUMBER(Led!D46),Led!D46,"")</f>
        <v/>
      </c>
      <c r="B49" s="807" t="str">
        <f>IF(ISNUMBER($A49),Led!E46,"")</f>
        <v/>
      </c>
      <c r="C49" s="807" t="str">
        <f>IF(ISNUMBER(A49),Led!F46,"")</f>
        <v/>
      </c>
      <c r="D49" s="703" t="str">
        <f>Led!CS46</f>
        <v/>
      </c>
      <c r="E49" s="808"/>
      <c r="F49" s="808"/>
      <c r="G49" s="808"/>
      <c r="H49" s="808"/>
      <c r="I49" s="808"/>
      <c r="J49" s="596" t="str">
        <f t="shared" si="1"/>
        <v/>
      </c>
    </row>
    <row r="50" spans="1:10" x14ac:dyDescent="0.2">
      <c r="A50" s="806" t="str">
        <f>IF(ISNUMBER(Led!D47),Led!D47,"")</f>
        <v/>
      </c>
      <c r="B50" s="807" t="str">
        <f>IF(ISNUMBER($A50),Led!E47,"")</f>
        <v/>
      </c>
      <c r="C50" s="807" t="str">
        <f>IF(ISNUMBER(A50),Led!F47,"")</f>
        <v/>
      </c>
      <c r="D50" s="703" t="str">
        <f>Led!CS47</f>
        <v/>
      </c>
      <c r="E50" s="808"/>
      <c r="F50" s="808"/>
      <c r="G50" s="808"/>
      <c r="H50" s="808"/>
      <c r="I50" s="808"/>
      <c r="J50" s="596" t="str">
        <f t="shared" si="1"/>
        <v/>
      </c>
    </row>
    <row r="51" spans="1:10" x14ac:dyDescent="0.2">
      <c r="A51" s="806" t="str">
        <f>IF(ISNUMBER(Led!D48),Led!D48,"")</f>
        <v/>
      </c>
      <c r="B51" s="807" t="str">
        <f>IF(ISNUMBER($A51),Led!E48,"")</f>
        <v/>
      </c>
      <c r="C51" s="807" t="str">
        <f>IF(ISNUMBER(A51),Led!F48,"")</f>
        <v/>
      </c>
      <c r="D51" s="703" t="str">
        <f>Led!CS48</f>
        <v/>
      </c>
      <c r="E51" s="808"/>
      <c r="F51" s="808"/>
      <c r="G51" s="808"/>
      <c r="H51" s="808"/>
      <c r="I51" s="808"/>
      <c r="J51" s="596" t="str">
        <f t="shared" si="1"/>
        <v/>
      </c>
    </row>
    <row r="52" spans="1:10" x14ac:dyDescent="0.2">
      <c r="A52" s="806" t="str">
        <f>IF(ISNUMBER(Led!D49),Led!D49,"")</f>
        <v/>
      </c>
      <c r="B52" s="807" t="str">
        <f>IF(ISNUMBER($A52),Led!E49,"")</f>
        <v/>
      </c>
      <c r="C52" s="807" t="str">
        <f>IF(ISNUMBER(A52),Led!F49,"")</f>
        <v/>
      </c>
      <c r="D52" s="703" t="str">
        <f>Led!CS49</f>
        <v/>
      </c>
      <c r="E52" s="808"/>
      <c r="F52" s="808"/>
      <c r="G52" s="808"/>
      <c r="H52" s="808"/>
      <c r="I52" s="808"/>
      <c r="J52" s="596" t="str">
        <f t="shared" si="1"/>
        <v/>
      </c>
    </row>
    <row r="53" spans="1:10" x14ac:dyDescent="0.2">
      <c r="A53" s="806" t="str">
        <f>IF(ISNUMBER(Led!D50),Led!D50,"")</f>
        <v/>
      </c>
      <c r="B53" s="807" t="str">
        <f>IF(ISNUMBER($A53),Led!E50,"")</f>
        <v/>
      </c>
      <c r="C53" s="807" t="str">
        <f>IF(ISNUMBER(A53),Led!F50,"")</f>
        <v/>
      </c>
      <c r="D53" s="703" t="str">
        <f>Led!CS50</f>
        <v/>
      </c>
      <c r="E53" s="808"/>
      <c r="F53" s="808"/>
      <c r="G53" s="808"/>
      <c r="H53" s="808"/>
      <c r="I53" s="808"/>
      <c r="J53" s="596" t="str">
        <f t="shared" si="1"/>
        <v/>
      </c>
    </row>
    <row r="54" spans="1:10" x14ac:dyDescent="0.2">
      <c r="A54" s="806" t="str">
        <f>IF(ISNUMBER(Led!D51),Led!D51,"")</f>
        <v/>
      </c>
      <c r="B54" s="807" t="str">
        <f>IF(ISNUMBER($A54),Led!E51,"")</f>
        <v/>
      </c>
      <c r="C54" s="807" t="str">
        <f>IF(ISNUMBER(A54),Led!F51,"")</f>
        <v/>
      </c>
      <c r="D54" s="703" t="str">
        <f>Led!CS51</f>
        <v/>
      </c>
      <c r="E54" s="808"/>
      <c r="F54" s="808"/>
      <c r="G54" s="808"/>
      <c r="H54" s="808"/>
      <c r="I54" s="808"/>
      <c r="J54" s="596" t="str">
        <f t="shared" si="1"/>
        <v/>
      </c>
    </row>
    <row r="55" spans="1:10" x14ac:dyDescent="0.2">
      <c r="A55" s="806" t="str">
        <f>IF(ISNUMBER(Led!D52),Led!D52,"")</f>
        <v/>
      </c>
      <c r="B55" s="807" t="str">
        <f>IF(ISNUMBER($A55),Led!E52,"")</f>
        <v/>
      </c>
      <c r="C55" s="807" t="str">
        <f>IF(ISNUMBER(A55),Led!F52,"")</f>
        <v/>
      </c>
      <c r="D55" s="703" t="str">
        <f>Led!CS52</f>
        <v/>
      </c>
      <c r="E55" s="808"/>
      <c r="F55" s="808"/>
      <c r="G55" s="808"/>
      <c r="H55" s="808"/>
      <c r="I55" s="808"/>
      <c r="J55" s="596" t="str">
        <f t="shared" si="1"/>
        <v/>
      </c>
    </row>
    <row r="56" spans="1:10" x14ac:dyDescent="0.2">
      <c r="A56" s="806" t="str">
        <f>IF(ISNUMBER(Led!D53),Led!D53,"")</f>
        <v/>
      </c>
      <c r="B56" s="807" t="str">
        <f>IF(ISNUMBER($A56),Led!E53,"")</f>
        <v/>
      </c>
      <c r="C56" s="807" t="str">
        <f>IF(ISNUMBER(A56),Led!F53,"")</f>
        <v/>
      </c>
      <c r="D56" s="703" t="str">
        <f>Led!CS53</f>
        <v/>
      </c>
      <c r="E56" s="808"/>
      <c r="F56" s="808"/>
      <c r="G56" s="808"/>
      <c r="H56" s="808"/>
      <c r="I56" s="808"/>
      <c r="J56" s="596" t="str">
        <f t="shared" si="1"/>
        <v/>
      </c>
    </row>
    <row r="57" spans="1:10" x14ac:dyDescent="0.2">
      <c r="A57" s="806" t="str">
        <f>IF(ISNUMBER(Led!D54),Led!D54,"")</f>
        <v/>
      </c>
      <c r="B57" s="807" t="str">
        <f>IF(ISNUMBER($A57),Led!E54,"")</f>
        <v/>
      </c>
      <c r="C57" s="807" t="str">
        <f>IF(ISNUMBER(A57),Led!F54,"")</f>
        <v/>
      </c>
      <c r="D57" s="703" t="str">
        <f>Led!CS54</f>
        <v/>
      </c>
      <c r="E57" s="808"/>
      <c r="F57" s="808"/>
      <c r="G57" s="808"/>
      <c r="H57" s="808"/>
      <c r="I57" s="808"/>
      <c r="J57" s="596" t="str">
        <f t="shared" si="1"/>
        <v/>
      </c>
    </row>
    <row r="58" spans="1:10" x14ac:dyDescent="0.2">
      <c r="A58" s="806" t="str">
        <f>IF(ISNUMBER(Led!D55),Led!D55,"")</f>
        <v/>
      </c>
      <c r="B58" s="807" t="str">
        <f>IF(ISNUMBER($A58),Led!E55,"")</f>
        <v/>
      </c>
      <c r="C58" s="807" t="str">
        <f>IF(ISNUMBER(A58),Led!F55,"")</f>
        <v/>
      </c>
      <c r="D58" s="703" t="str">
        <f>Led!CS55</f>
        <v/>
      </c>
      <c r="E58" s="808"/>
      <c r="F58" s="808"/>
      <c r="G58" s="808"/>
      <c r="H58" s="808"/>
      <c r="I58" s="808"/>
      <c r="J58" s="596" t="str">
        <f t="shared" si="1"/>
        <v/>
      </c>
    </row>
    <row r="59" spans="1:10" x14ac:dyDescent="0.2">
      <c r="A59" s="806" t="str">
        <f>IF(ISNUMBER(Led!D56),Led!D56,"")</f>
        <v/>
      </c>
      <c r="B59" s="807" t="str">
        <f>IF(ISNUMBER($A59),Led!E56,"")</f>
        <v/>
      </c>
      <c r="C59" s="807" t="str">
        <f>IF(ISNUMBER(A59),Led!F56,"")</f>
        <v/>
      </c>
      <c r="D59" s="703" t="str">
        <f>Led!CS56</f>
        <v/>
      </c>
      <c r="E59" s="808"/>
      <c r="F59" s="808"/>
      <c r="G59" s="808"/>
      <c r="H59" s="808"/>
      <c r="I59" s="808"/>
      <c r="J59" s="596" t="str">
        <f t="shared" si="1"/>
        <v/>
      </c>
    </row>
    <row r="60" spans="1:10" x14ac:dyDescent="0.2">
      <c r="A60" s="806" t="str">
        <f>IF(ISNUMBER(Led!D57),Led!D57,"")</f>
        <v/>
      </c>
      <c r="B60" s="807" t="str">
        <f>IF(ISNUMBER($A60),Led!E57,"")</f>
        <v/>
      </c>
      <c r="C60" s="807" t="str">
        <f>IF(ISNUMBER(A60),Led!F57,"")</f>
        <v/>
      </c>
      <c r="D60" s="703" t="str">
        <f>Led!CS57</f>
        <v/>
      </c>
      <c r="E60" s="808"/>
      <c r="F60" s="808"/>
      <c r="G60" s="808"/>
      <c r="H60" s="808"/>
      <c r="I60" s="808"/>
      <c r="J60" s="596" t="str">
        <f t="shared" si="1"/>
        <v/>
      </c>
    </row>
    <row r="61" spans="1:10" x14ac:dyDescent="0.2">
      <c r="A61" s="806" t="str">
        <f>IF(ISNUMBER(Led!D58),Led!D58,"")</f>
        <v/>
      </c>
      <c r="B61" s="807" t="str">
        <f>IF(ISNUMBER($A61),Led!E58,"")</f>
        <v/>
      </c>
      <c r="C61" s="807" t="str">
        <f>IF(ISNUMBER(A61),Led!F58,"")</f>
        <v/>
      </c>
      <c r="D61" s="703" t="str">
        <f>Led!CS58</f>
        <v/>
      </c>
      <c r="E61" s="808"/>
      <c r="F61" s="808"/>
      <c r="G61" s="808"/>
      <c r="H61" s="808"/>
      <c r="I61" s="808"/>
      <c r="J61" s="596" t="str">
        <f t="shared" si="1"/>
        <v/>
      </c>
    </row>
    <row r="62" spans="1:10" x14ac:dyDescent="0.2">
      <c r="A62" s="806" t="str">
        <f>IF(ISNUMBER(Led!D59),Led!D59,"")</f>
        <v/>
      </c>
      <c r="B62" s="807" t="str">
        <f>IF(ISNUMBER($A62),Led!E59,"")</f>
        <v/>
      </c>
      <c r="C62" s="807" t="str">
        <f>IF(ISNUMBER(A62),Led!F59,"")</f>
        <v/>
      </c>
      <c r="D62" s="703" t="str">
        <f>Led!CS59</f>
        <v/>
      </c>
      <c r="E62" s="808"/>
      <c r="F62" s="808"/>
      <c r="G62" s="808"/>
      <c r="H62" s="808"/>
      <c r="I62" s="808"/>
      <c r="J62" s="596" t="str">
        <f t="shared" si="1"/>
        <v/>
      </c>
    </row>
    <row r="63" spans="1:10" x14ac:dyDescent="0.2">
      <c r="A63" s="806" t="str">
        <f>IF(ISNUMBER(Led!D60),Led!D60,"")</f>
        <v/>
      </c>
      <c r="B63" s="807" t="str">
        <f>IF(ISNUMBER($A63),Led!E60,"")</f>
        <v/>
      </c>
      <c r="C63" s="807" t="str">
        <f>IF(ISNUMBER(A63),Led!F60,"")</f>
        <v/>
      </c>
      <c r="D63" s="703" t="str">
        <f>Led!CS60</f>
        <v/>
      </c>
      <c r="E63" s="808"/>
      <c r="F63" s="808"/>
      <c r="G63" s="808"/>
      <c r="H63" s="808"/>
      <c r="I63" s="808"/>
      <c r="J63" s="596" t="str">
        <f t="shared" si="1"/>
        <v/>
      </c>
    </row>
    <row r="64" spans="1:10" x14ac:dyDescent="0.2">
      <c r="A64" s="806" t="str">
        <f>IF(ISNUMBER(Led!D61),Led!D61,"")</f>
        <v/>
      </c>
      <c r="B64" s="807" t="str">
        <f>IF(ISNUMBER($A64),Led!E61,"")</f>
        <v/>
      </c>
      <c r="C64" s="807" t="str">
        <f>IF(ISNUMBER(A64),Led!F61,"")</f>
        <v/>
      </c>
      <c r="D64" s="703" t="str">
        <f>Led!CS61</f>
        <v/>
      </c>
      <c r="E64" s="808"/>
      <c r="F64" s="808"/>
      <c r="G64" s="808"/>
      <c r="H64" s="808"/>
      <c r="I64" s="808"/>
      <c r="J64" s="596" t="str">
        <f t="shared" si="1"/>
        <v/>
      </c>
    </row>
    <row r="65" spans="1:10" x14ac:dyDescent="0.2">
      <c r="A65" s="806" t="str">
        <f>IF(ISNUMBER(Led!D62),Led!D62,"")</f>
        <v/>
      </c>
      <c r="B65" s="807" t="str">
        <f>IF(ISNUMBER($A65),Led!E62,"")</f>
        <v/>
      </c>
      <c r="C65" s="807" t="str">
        <f>IF(ISNUMBER(A65),Led!F62,"")</f>
        <v/>
      </c>
      <c r="D65" s="703" t="str">
        <f>Led!CS62</f>
        <v/>
      </c>
      <c r="E65" s="808"/>
      <c r="F65" s="808"/>
      <c r="G65" s="808"/>
      <c r="H65" s="808"/>
      <c r="I65" s="808"/>
      <c r="J65" s="596" t="str">
        <f t="shared" si="1"/>
        <v/>
      </c>
    </row>
    <row r="66" spans="1:10" x14ac:dyDescent="0.2">
      <c r="A66" s="806" t="str">
        <f>IF(ISNUMBER(Led!D63),Led!D63,"")</f>
        <v/>
      </c>
      <c r="B66" s="807" t="str">
        <f>IF(ISNUMBER($A66),Led!E63,"")</f>
        <v/>
      </c>
      <c r="C66" s="807" t="str">
        <f>IF(ISNUMBER(A66),Led!F63,"")</f>
        <v/>
      </c>
      <c r="D66" s="703" t="str">
        <f>Led!CS63</f>
        <v/>
      </c>
      <c r="E66" s="808"/>
      <c r="F66" s="808"/>
      <c r="G66" s="808"/>
      <c r="H66" s="808"/>
      <c r="I66" s="808"/>
      <c r="J66" s="596" t="str">
        <f t="shared" si="1"/>
        <v/>
      </c>
    </row>
    <row r="67" spans="1:10" x14ac:dyDescent="0.2">
      <c r="A67" s="806" t="str">
        <f>IF(ISNUMBER(Led!D64),Led!D64,"")</f>
        <v/>
      </c>
      <c r="B67" s="807" t="str">
        <f>IF(ISNUMBER($A67),Led!E64,"")</f>
        <v/>
      </c>
      <c r="C67" s="807" t="str">
        <f>IF(ISNUMBER(A67),Led!F64,"")</f>
        <v/>
      </c>
      <c r="D67" s="703" t="str">
        <f>Led!CS64</f>
        <v/>
      </c>
      <c r="E67" s="808"/>
      <c r="F67" s="808"/>
      <c r="G67" s="808"/>
      <c r="H67" s="808"/>
      <c r="I67" s="808"/>
      <c r="J67" s="596" t="str">
        <f t="shared" si="1"/>
        <v/>
      </c>
    </row>
    <row r="68" spans="1:10" x14ac:dyDescent="0.2">
      <c r="A68" s="806" t="str">
        <f>IF(ISNUMBER(Led!D65),Led!D65,"")</f>
        <v/>
      </c>
      <c r="B68" s="807" t="str">
        <f>IF(ISNUMBER($A68),Led!E65,"")</f>
        <v/>
      </c>
      <c r="C68" s="807" t="str">
        <f>IF(ISNUMBER(A68),Led!F65,"")</f>
        <v/>
      </c>
      <c r="D68" s="703" t="str">
        <f>Led!CS65</f>
        <v/>
      </c>
      <c r="E68" s="808"/>
      <c r="F68" s="808"/>
      <c r="G68" s="808"/>
      <c r="H68" s="808"/>
      <c r="I68" s="808"/>
      <c r="J68" s="596" t="str">
        <f t="shared" si="1"/>
        <v/>
      </c>
    </row>
    <row r="69" spans="1:10" x14ac:dyDescent="0.2">
      <c r="A69" s="806" t="str">
        <f>IF(ISNUMBER(Led!D66),Led!D66,"")</f>
        <v/>
      </c>
      <c r="B69" s="807" t="str">
        <f>IF(ISNUMBER($A69),Led!E66,"")</f>
        <v/>
      </c>
      <c r="C69" s="807" t="str">
        <f>IF(ISNUMBER(A69),Led!F66,"")</f>
        <v/>
      </c>
      <c r="D69" s="703" t="str">
        <f>Led!CS66</f>
        <v/>
      </c>
      <c r="E69" s="808"/>
      <c r="F69" s="808"/>
      <c r="G69" s="808"/>
      <c r="H69" s="808"/>
      <c r="I69" s="808"/>
      <c r="J69" s="596" t="str">
        <f t="shared" si="1"/>
        <v/>
      </c>
    </row>
    <row r="70" spans="1:10" x14ac:dyDescent="0.2">
      <c r="A70" s="806" t="str">
        <f>IF(ISNUMBER(Led!D67),Led!D67,"")</f>
        <v/>
      </c>
      <c r="B70" s="807" t="str">
        <f>IF(ISNUMBER($A70),Led!E67,"")</f>
        <v/>
      </c>
      <c r="C70" s="807" t="str">
        <f>IF(ISNUMBER(A70),Led!F67,"")</f>
        <v/>
      </c>
      <c r="D70" s="703" t="str">
        <f>Led!CS67</f>
        <v/>
      </c>
      <c r="E70" s="808"/>
      <c r="F70" s="808"/>
      <c r="G70" s="808"/>
      <c r="H70" s="808"/>
      <c r="I70" s="808"/>
      <c r="J70" s="596" t="str">
        <f t="shared" si="1"/>
        <v/>
      </c>
    </row>
    <row r="71" spans="1:10" x14ac:dyDescent="0.2">
      <c r="A71" s="806" t="str">
        <f>IF(ISNUMBER(Led!D68),Led!D68,"")</f>
        <v/>
      </c>
      <c r="B71" s="807" t="str">
        <f>IF(ISNUMBER($A71),Led!E68,"")</f>
        <v/>
      </c>
      <c r="C71" s="807" t="str">
        <f>IF(ISNUMBER(A71),Led!F68,"")</f>
        <v/>
      </c>
      <c r="D71" s="703" t="str">
        <f>Led!CS68</f>
        <v/>
      </c>
      <c r="E71" s="808"/>
      <c r="F71" s="808"/>
      <c r="G71" s="808"/>
      <c r="H71" s="808"/>
      <c r="I71" s="808"/>
      <c r="J71" s="596" t="str">
        <f t="shared" si="1"/>
        <v/>
      </c>
    </row>
    <row r="72" spans="1:10" x14ac:dyDescent="0.2">
      <c r="A72" s="806" t="str">
        <f>IF(ISNUMBER(Led!D69),Led!D69,"")</f>
        <v/>
      </c>
      <c r="B72" s="807" t="str">
        <f>IF(ISNUMBER($A72),Led!E69,"")</f>
        <v/>
      </c>
      <c r="C72" s="807" t="str">
        <f>IF(ISNUMBER(A72),Led!F69,"")</f>
        <v/>
      </c>
      <c r="D72" s="703" t="str">
        <f>Led!CS69</f>
        <v/>
      </c>
      <c r="E72" s="808"/>
      <c r="F72" s="808"/>
      <c r="G72" s="808"/>
      <c r="H72" s="808"/>
      <c r="I72" s="808"/>
      <c r="J72" s="596" t="str">
        <f t="shared" si="1"/>
        <v/>
      </c>
    </row>
  </sheetData>
  <sheetProtection sheet="1" objects="1" scenarios="1"/>
  <phoneticPr fontId="29" type="noConversion"/>
  <conditionalFormatting sqref="J5:J72">
    <cfRule type="cellIs" dxfId="7" priority="13" stopIfTrue="1" operator="between">
      <formula>1</formula>
      <formula>20000</formula>
    </cfRule>
  </conditionalFormatting>
  <conditionalFormatting sqref="E5:I5">
    <cfRule type="expression" dxfId="6" priority="9">
      <formula>ISNUMBER($A5)</formula>
    </cfRule>
  </conditionalFormatting>
  <conditionalFormatting sqref="E6:I72">
    <cfRule type="expression" dxfId="5" priority="6">
      <formula>ISNUMBER($A6)</formula>
    </cfRule>
  </conditionalFormatting>
  <conditionalFormatting sqref="A5:C5 B6:C72">
    <cfRule type="expression" dxfId="4" priority="5">
      <formula>ISNUMBER($A5)</formula>
    </cfRule>
  </conditionalFormatting>
  <conditionalFormatting sqref="A73:D76 A6:A72">
    <cfRule type="expression" dxfId="3" priority="4">
      <formula>ISNUMBER($A6)</formula>
    </cfRule>
  </conditionalFormatting>
  <conditionalFormatting sqref="B5:B72">
    <cfRule type="cellIs" dxfId="2" priority="2" operator="equal">
      <formula>3</formula>
    </cfRule>
    <cfRule type="cellIs" dxfId="1" priority="3" operator="equal">
      <formula>1</formula>
    </cfRule>
  </conditionalFormatting>
  <pageMargins left="0.74803149606299213" right="0.74803149606299213" top="0.31496062992125984" bottom="0.23622047244094491" header="0.23622047244094491" footer="0.19685039370078741"/>
  <pageSetup paperSize="9" orientation="portrait"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26A17C17-69CA-4C82-858E-C758E02EE92B}">
            <xm:f>IF(AND($C7&lt;&gt;PM!$AG$17,ISTEXT($C$4)),1,0)</xm:f>
            <x14:dxf>
              <font>
                <color theme="0"/>
              </font>
            </x14:dxf>
          </x14:cfRule>
          <xm:sqref>D5:D72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B95"/>
  <sheetViews>
    <sheetView topLeftCell="A13" zoomScale="180" zoomScaleNormal="180" workbookViewId="0">
      <selection activeCell="A24" sqref="A24"/>
    </sheetView>
  </sheetViews>
  <sheetFormatPr defaultRowHeight="12.75" x14ac:dyDescent="0.2"/>
  <cols>
    <col min="1" max="1" width="46.42578125" style="7" customWidth="1"/>
    <col min="2" max="2" width="42.42578125" customWidth="1"/>
  </cols>
  <sheetData>
    <row r="1" spans="1:2" x14ac:dyDescent="0.2">
      <c r="A1" s="329" t="s">
        <v>957</v>
      </c>
    </row>
    <row r="2" spans="1:2" x14ac:dyDescent="0.2">
      <c r="A2" s="84" t="s">
        <v>418</v>
      </c>
      <c r="B2" s="91" t="s">
        <v>440</v>
      </c>
    </row>
    <row r="3" spans="1:2" x14ac:dyDescent="0.2">
      <c r="A3" s="84" t="str">
        <f>CONCATENATE(Fältkort!H91,";",Fältkort!H86,";","X-plats",";",2013,";;;;;4;0;;;;;;")</f>
        <v>HUG066;HU-1433;X-plats;2013;;;;;4;0;;;;;;</v>
      </c>
      <c r="B3" s="89" t="s">
        <v>425</v>
      </c>
    </row>
    <row r="4" spans="1:2" x14ac:dyDescent="0.2">
      <c r="A4" s="84" t="s">
        <v>419</v>
      </c>
      <c r="B4" s="90" t="s">
        <v>426</v>
      </c>
    </row>
    <row r="5" spans="1:2" x14ac:dyDescent="0.2">
      <c r="A5" s="84" t="s">
        <v>423</v>
      </c>
      <c r="B5" s="90" t="s">
        <v>427</v>
      </c>
    </row>
    <row r="6" spans="1:2" x14ac:dyDescent="0.2">
      <c r="A6" s="84" t="s">
        <v>420</v>
      </c>
      <c r="B6" s="90" t="s">
        <v>428</v>
      </c>
    </row>
    <row r="7" spans="1:2" x14ac:dyDescent="0.2">
      <c r="A7" s="84" t="str">
        <f>CONCATENATE(Fältkort!H86,";RB;;;1115;#;STANDARD.RBL;",Led!Q1,";0;0;0;0;2;;;;")</f>
        <v>HU-1433;RB;;;1115;#;STANDARD.RBL;7;0;0;0;0;2;;;;</v>
      </c>
      <c r="B7" s="90" t="s">
        <v>429</v>
      </c>
    </row>
    <row r="8" spans="1:2" x14ac:dyDescent="0.2">
      <c r="A8" s="84" t="s">
        <v>421</v>
      </c>
      <c r="B8" s="90" t="s">
        <v>430</v>
      </c>
    </row>
    <row r="9" spans="1:2" x14ac:dyDescent="0.2">
      <c r="A9" s="84" t="str">
        <f>CONCATENATE(Fältkort!H86,";1;1;01;+@;")</f>
        <v>HU-1433;1;1;01;+@;</v>
      </c>
      <c r="B9" s="90" t="s">
        <v>431</v>
      </c>
    </row>
    <row r="10" spans="1:2" x14ac:dyDescent="0.2">
      <c r="A10" s="84" t="str">
        <f>CONCATENATE(Fältkort!H86,";2;2;02;+@;")</f>
        <v>HU-1433;2;2;02;+@;</v>
      </c>
      <c r="B10" s="90" t="s">
        <v>432</v>
      </c>
    </row>
    <row r="11" spans="1:2" x14ac:dyDescent="0.2">
      <c r="A11" s="84" t="str">
        <f>IF(Led!Q$1&gt;=3,CONCATENATE(Fältkort!H86,";3;3;03;+@;"),"")</f>
        <v>HU-1433;3;3;03;+@;</v>
      </c>
      <c r="B11" s="90" t="s">
        <v>433</v>
      </c>
    </row>
    <row r="12" spans="1:2" x14ac:dyDescent="0.2">
      <c r="A12" s="84" t="str">
        <f>IF(Led!Q$1&gt;=4,CONCATENATE(Fältkort!H86,";4;4;04;+@;"),"")</f>
        <v>HU-1433;4;4;04;+@;</v>
      </c>
      <c r="B12" s="90"/>
    </row>
    <row r="13" spans="1:2" x14ac:dyDescent="0.2">
      <c r="A13" s="84" t="str">
        <f>IF(Led!Q$1&gt;=5,CONCATENATE(Fältkort!H86,";5;5;05;+@;"),"")</f>
        <v>HU-1433;5;5;05;+@;</v>
      </c>
      <c r="B13" s="90" t="s">
        <v>434</v>
      </c>
    </row>
    <row r="14" spans="1:2" x14ac:dyDescent="0.2">
      <c r="A14" s="84" t="str">
        <f>IF(Led!Q$1&gt;=6,CONCATENATE(Fältkort!H86,";6;6;06;+@;"),"")</f>
        <v>HU-1433;6;6;06;+@;</v>
      </c>
      <c r="B14" s="96" t="s">
        <v>564</v>
      </c>
    </row>
    <row r="15" spans="1:2" x14ac:dyDescent="0.2">
      <c r="A15" s="84" t="str">
        <f>IF(Led!Q$1&gt;=7,CONCATENATE(Fältkort!H86,";7;7;07;+@;"),"")</f>
        <v>HU-1433;7;7;07;+@;</v>
      </c>
      <c r="B15" t="s">
        <v>565</v>
      </c>
    </row>
    <row r="16" spans="1:2" x14ac:dyDescent="0.2">
      <c r="A16" s="84" t="str">
        <f>IF(Led!Q$1&gt;=8,CONCATENATE(Fältkort!H86,";8;8;08;+@;"),"")</f>
        <v/>
      </c>
      <c r="B16" s="90" t="s">
        <v>435</v>
      </c>
    </row>
    <row r="17" spans="1:2" x14ac:dyDescent="0.2">
      <c r="A17" s="84" t="str">
        <f>IF(Led!Q$1&gt;=9,CONCATENATE(Fältkort!H86,";9;9;09;+@;"),"")</f>
        <v/>
      </c>
      <c r="B17" s="90" t="s">
        <v>436</v>
      </c>
    </row>
    <row r="18" spans="1:2" x14ac:dyDescent="0.2">
      <c r="A18" s="84" t="str">
        <f>IF(Led!Q$1&gt;=10,CONCATENATE(Fältkort!H86,";10;10;10;+@;"),"")</f>
        <v/>
      </c>
      <c r="B18" s="90" t="s">
        <v>437</v>
      </c>
    </row>
    <row r="19" spans="1:2" x14ac:dyDescent="0.2">
      <c r="A19" s="84" t="str">
        <f>IF(Led!Q$1&gt;=11,CONCATENATE(Fältkort!H86,";11;11;11;+@;"),"")</f>
        <v/>
      </c>
      <c r="B19" s="90" t="s">
        <v>438</v>
      </c>
    </row>
    <row r="20" spans="1:2" x14ac:dyDescent="0.2">
      <c r="A20" s="84" t="str">
        <f>IF(Led!Q$1&gt;=12,CONCATENATE(Fältkort!H86,";12;12;12;+@;"),"")</f>
        <v/>
      </c>
      <c r="B20" s="90" t="s">
        <v>439</v>
      </c>
    </row>
    <row r="21" spans="1:2" x14ac:dyDescent="0.2">
      <c r="A21" s="84" t="str">
        <f>IF(Led!Q$1&gt;=13,CONCATENATE(Fältkort!H86,";13;13;13;+@;"),"")</f>
        <v/>
      </c>
    </row>
    <row r="22" spans="1:2" x14ac:dyDescent="0.2">
      <c r="A22" s="84" t="str">
        <f>IF(Led!Q$1&gt;=14,CONCATENATE(Fältkort!H86,";14;14;14;+@;"),"")</f>
        <v/>
      </c>
    </row>
    <row r="23" spans="1:2" x14ac:dyDescent="0.2">
      <c r="A23" s="84" t="str">
        <f>IF(Led!Q$1&gt;=15,CONCATENATE(Fältkort!H86,";15;15;15;+@;"),"")</f>
        <v/>
      </c>
    </row>
    <row r="24" spans="1:2" x14ac:dyDescent="0.2">
      <c r="A24" s="84" t="str">
        <f>IF(Led!Q$1&gt;=16,CONCATENATE(Fältkort!H86,";16;16;16;+@;"),"")</f>
        <v/>
      </c>
    </row>
    <row r="25" spans="1:2" x14ac:dyDescent="0.2">
      <c r="A25" s="84" t="str">
        <f>IF(Led!Q$1&gt;=17,CONCATENATE(Fältkort!H86,";17;17;17;+@;"),"")</f>
        <v/>
      </c>
    </row>
    <row r="26" spans="1:2" x14ac:dyDescent="0.2">
      <c r="A26" s="84" t="s">
        <v>422</v>
      </c>
    </row>
    <row r="27" spans="1:2" x14ac:dyDescent="0.2">
      <c r="A27" s="80" t="str">
        <f>IF(ISBLANK(Led!F2),"",CONCATENATE(Fältkort!H91,";",Led!D2,";",Led!F2,";",0))</f>
        <v>HUG066;1;7;0</v>
      </c>
      <c r="B27">
        <v>1</v>
      </c>
    </row>
    <row r="28" spans="1:2" x14ac:dyDescent="0.2">
      <c r="A28" s="80" t="str">
        <f>IF(ISBLANK(Led!F3),"",CONCATENATE(Fältkort!H91,";",Led!D3,";",Led!F3,";",0))</f>
        <v>HUG066;2;4;0</v>
      </c>
      <c r="B28">
        <v>2</v>
      </c>
    </row>
    <row r="29" spans="1:2" x14ac:dyDescent="0.2">
      <c r="A29" s="80" t="str">
        <f>IF(ISBLANK(Led!F4),"",CONCATENATE(Fältkort!H91,";",Led!D4,";",Led!F4,";",0))</f>
        <v>HUG066;3;3;0</v>
      </c>
      <c r="B29">
        <v>3</v>
      </c>
    </row>
    <row r="30" spans="1:2" x14ac:dyDescent="0.2">
      <c r="A30" s="80" t="str">
        <f>IF(ISBLANK(Led!F5),"",CONCATENATE(Fältkort!H91,";",Led!D5,";",Led!F5,";",0))</f>
        <v>HUG066;4;1;0</v>
      </c>
      <c r="B30">
        <v>4</v>
      </c>
    </row>
    <row r="31" spans="1:2" x14ac:dyDescent="0.2">
      <c r="A31" s="80" t="str">
        <f>IF(ISBLANK(Led!F6),"",CONCATENATE(Fältkort!H91,";",Led!D6,";",Led!F6,";",0))</f>
        <v>HUG066;5;3;0</v>
      </c>
      <c r="B31">
        <v>5</v>
      </c>
    </row>
    <row r="32" spans="1:2" x14ac:dyDescent="0.2">
      <c r="A32" s="80" t="str">
        <f>IF(ISBLANK(Led!F7),"",CONCATENATE(Fältkort!H91,";",Led!D7,";",Led!F7,";",0))</f>
        <v>HUG066;6;5;0</v>
      </c>
      <c r="B32">
        <v>6</v>
      </c>
    </row>
    <row r="33" spans="1:2" x14ac:dyDescent="0.2">
      <c r="A33" s="80" t="str">
        <f>IF(ISBLANK(Led!F8),"",CONCATENATE(Fältkort!H91,";",Led!D8,";",Led!F8,";",0))</f>
        <v>HUG066;7;2;0</v>
      </c>
      <c r="B33">
        <v>7</v>
      </c>
    </row>
    <row r="34" spans="1:2" x14ac:dyDescent="0.2">
      <c r="A34" s="80" t="str">
        <f>IF(ISBLANK(Led!F9),"",CONCATENATE(Fältkort!H91,";",Led!D9,";",Led!F9,";",0))</f>
        <v>HUG066;8;3;0</v>
      </c>
      <c r="B34">
        <v>8</v>
      </c>
    </row>
    <row r="35" spans="1:2" x14ac:dyDescent="0.2">
      <c r="A35" s="80" t="str">
        <f>IF(ISBLANK(Led!F10),"",CONCATENATE(Fältkort!H91,";",Led!D10,";",Led!F10,";",0))</f>
        <v>HUG066;9;6;0</v>
      </c>
      <c r="B35">
        <v>9</v>
      </c>
    </row>
    <row r="36" spans="1:2" x14ac:dyDescent="0.2">
      <c r="A36" s="80" t="str">
        <f>IF(ISBLANK(Led!F11),"",CONCATENATE(Fältkort!H91,";",Led!D11,";",Led!F11,";",0))</f>
        <v>HUG066;10;2;0</v>
      </c>
      <c r="B36">
        <v>10</v>
      </c>
    </row>
    <row r="37" spans="1:2" x14ac:dyDescent="0.2">
      <c r="A37" s="80" t="str">
        <f>IF(ISBLANK(Led!F12),"",CONCATENATE(Fältkort!H91,";",Led!D12,";",Led!F12,";",0))</f>
        <v>HUG066;11;7;0</v>
      </c>
      <c r="B37">
        <v>11</v>
      </c>
    </row>
    <row r="38" spans="1:2" x14ac:dyDescent="0.2">
      <c r="A38" s="80" t="str">
        <f>IF(ISBLANK(Led!F13),"",CONCATENATE(Fältkort!H91,";",Led!D13,";",Led!F13,";",0))</f>
        <v>HUG066;12;4;0</v>
      </c>
      <c r="B38">
        <v>12</v>
      </c>
    </row>
    <row r="39" spans="1:2" x14ac:dyDescent="0.2">
      <c r="A39" s="80" t="str">
        <f>IF(ISBLANK(Led!F14),"",CONCATENATE(Fältkort!H91,";",Led!D14,";",Led!F14,";",0))</f>
        <v>HUG066;13;1;0</v>
      </c>
      <c r="B39">
        <v>13</v>
      </c>
    </row>
    <row r="40" spans="1:2" x14ac:dyDescent="0.2">
      <c r="A40" s="80" t="str">
        <f>IF(ISBLANK(Led!F15),"",CONCATENATE(Fältkort!H91,";",Led!D15,";",Led!F15,";",0))</f>
        <v>HUG066;14;5;0</v>
      </c>
      <c r="B40">
        <v>14</v>
      </c>
    </row>
    <row r="41" spans="1:2" x14ac:dyDescent="0.2">
      <c r="A41" s="80" t="str">
        <f>IF(ISBLANK(Led!F16),"",CONCATENATE(Fältkort!H91,";",Led!D16,";",Led!F16,";",0))</f>
        <v>HUG066;15;1;0</v>
      </c>
      <c r="B41">
        <v>15</v>
      </c>
    </row>
    <row r="42" spans="1:2" x14ac:dyDescent="0.2">
      <c r="A42" s="80" t="str">
        <f>IF(ISBLANK(Led!F17),"",CONCATENATE(Fältkort!H91,";",Led!D17,";",Led!F17,";",0))</f>
        <v>HUG066;16;2;0</v>
      </c>
      <c r="B42">
        <v>16</v>
      </c>
    </row>
    <row r="43" spans="1:2" x14ac:dyDescent="0.2">
      <c r="A43" s="80" t="str">
        <f>IF(ISBLANK(Led!F18),"",CONCATENATE(Fältkort!H91,";",Led!D18,";",Led!F18,";",0))</f>
        <v>HUG066;17;6;0</v>
      </c>
      <c r="B43">
        <v>17</v>
      </c>
    </row>
    <row r="44" spans="1:2" x14ac:dyDescent="0.2">
      <c r="A44" s="80" t="str">
        <f>IF(ISBLANK(Led!F19),"",CONCATENATE(Fältkort!H91,";",Led!D19,";",Led!F19,";",0))</f>
        <v>HUG066;18;5;0</v>
      </c>
      <c r="B44">
        <v>18</v>
      </c>
    </row>
    <row r="45" spans="1:2" x14ac:dyDescent="0.2">
      <c r="A45" s="80" t="str">
        <f>IF(ISBLANK(Led!F20),"",CONCATENATE(Fältkort!H91,";",Led!D20,";",Led!F20,";",0))</f>
        <v>HUG066;19;6;0</v>
      </c>
      <c r="B45">
        <v>19</v>
      </c>
    </row>
    <row r="46" spans="1:2" x14ac:dyDescent="0.2">
      <c r="A46" s="80" t="str">
        <f>IF(ISBLANK(Led!F21),"",CONCATENATE(Fältkort!H91,";",Led!D21,";",Led!F21,";",0))</f>
        <v>HUG066;20;7;0</v>
      </c>
      <c r="B46">
        <v>20</v>
      </c>
    </row>
    <row r="47" spans="1:2" x14ac:dyDescent="0.2">
      <c r="A47" s="80" t="str">
        <f>IF(ISBLANK(Led!F22),"",CONCATENATE(Fältkort!H91,";",Led!D22,";",Led!F22,";",0))</f>
        <v>HUG066;21;4;0</v>
      </c>
      <c r="B47">
        <v>21</v>
      </c>
    </row>
    <row r="48" spans="1:2" x14ac:dyDescent="0.2">
      <c r="A48" s="80" t="str">
        <f>IF(ISBLANK(Led!F23),"",CONCATENATE(Fältkort!H91,";",Led!D23,";",Led!F23,";",0))</f>
        <v>HUG066;22;5;0</v>
      </c>
      <c r="B48">
        <v>22</v>
      </c>
    </row>
    <row r="49" spans="1:2" x14ac:dyDescent="0.2">
      <c r="A49" s="80" t="str">
        <f>IF(ISBLANK(Led!F24),"",CONCATENATE(Fältkort!H91,";",Led!D24,";",Led!F24,";",0))</f>
        <v>HUG066;23;7;0</v>
      </c>
      <c r="B49">
        <v>23</v>
      </c>
    </row>
    <row r="50" spans="1:2" x14ac:dyDescent="0.2">
      <c r="A50" s="80" t="str">
        <f>IF(ISBLANK(Led!F25),"",CONCATENATE(Fältkort!H91,";",Led!D25,";",Led!F25,";",0))</f>
        <v>HUG066;24;1;0</v>
      </c>
      <c r="B50">
        <v>24</v>
      </c>
    </row>
    <row r="51" spans="1:2" x14ac:dyDescent="0.2">
      <c r="A51" s="80" t="str">
        <f>IF(ISBLANK(Led!F26),"",CONCATENATE(Fältkort!H91,";",Led!D26,";",Led!F26,";",0))</f>
        <v>HUG066;25;4;0</v>
      </c>
      <c r="B51">
        <v>25</v>
      </c>
    </row>
    <row r="52" spans="1:2" x14ac:dyDescent="0.2">
      <c r="A52" s="80" t="str">
        <f>IF(ISBLANK(Led!F27),"",CONCATENATE(Fältkort!H91,";",Led!D27,";",Led!F27,";",0))</f>
        <v>HUG066;26;2;0</v>
      </c>
      <c r="B52">
        <v>26</v>
      </c>
    </row>
    <row r="53" spans="1:2" x14ac:dyDescent="0.2">
      <c r="A53" s="80" t="str">
        <f>IF(ISBLANK(Led!F28),"",CONCATENATE(Fältkort!H91,";",Led!D28,";",Led!F28,";",0))</f>
        <v>HUG066;27;6;0</v>
      </c>
      <c r="B53">
        <v>27</v>
      </c>
    </row>
    <row r="54" spans="1:2" x14ac:dyDescent="0.2">
      <c r="A54" s="80" t="str">
        <f>IF(ISBLANK(Led!F29),"",CONCATENATE(Fältkort!H91,";",Led!D29,";",Led!F29,";",0))</f>
        <v>HUG066;28;3;0</v>
      </c>
      <c r="B54">
        <v>28</v>
      </c>
    </row>
    <row r="55" spans="1:2" x14ac:dyDescent="0.2">
      <c r="A55" s="80" t="str">
        <f>IF(ISBLANK(Led!F30),"",CONCATENATE(Fältkort!H91,";",Led!D30,";",Led!F30,";",0))</f>
        <v>HUG066;;;0</v>
      </c>
      <c r="B55">
        <v>29</v>
      </c>
    </row>
    <row r="56" spans="1:2" x14ac:dyDescent="0.2">
      <c r="A56" s="80" t="str">
        <f>IF(ISBLANK(Led!F31),"",CONCATENATE(Fältkort!H91,";",Led!D31,";",Led!F31,";",0))</f>
        <v>HUG066;;;0</v>
      </c>
      <c r="B56">
        <v>30</v>
      </c>
    </row>
    <row r="57" spans="1:2" x14ac:dyDescent="0.2">
      <c r="A57" s="80" t="str">
        <f>IF(ISBLANK(Led!F32),"",CONCATENATE(Fältkort!H91,";",Led!D32,";",Led!F32,";",0))</f>
        <v>HUG066;;;0</v>
      </c>
      <c r="B57">
        <v>31</v>
      </c>
    </row>
    <row r="58" spans="1:2" x14ac:dyDescent="0.2">
      <c r="A58" s="80" t="str">
        <f>IF(ISBLANK(Led!F33),"",CONCATENATE(Fältkort!H91,";",Led!D33,";",Led!F33,";",0))</f>
        <v>HUG066;;;0</v>
      </c>
      <c r="B58">
        <v>32</v>
      </c>
    </row>
    <row r="59" spans="1:2" x14ac:dyDescent="0.2">
      <c r="A59" s="80" t="str">
        <f>IF(ISBLANK(Led!F34),"",CONCATENATE(Fältkort!H91,";",Led!D34,";",Led!F34,";",0))</f>
        <v>HUG066;;;0</v>
      </c>
      <c r="B59">
        <v>33</v>
      </c>
    </row>
    <row r="60" spans="1:2" x14ac:dyDescent="0.2">
      <c r="A60" s="80" t="str">
        <f>IF(ISBLANK(Led!F35),"",CONCATENATE(Fältkort!H91,";",Led!D35,";",Led!F35,";",0))</f>
        <v>HUG066;;;0</v>
      </c>
      <c r="B60">
        <v>34</v>
      </c>
    </row>
    <row r="61" spans="1:2" x14ac:dyDescent="0.2">
      <c r="A61" s="80" t="str">
        <f>IF(ISBLANK(Led!F36),"",CONCATENATE(Fältkort!H91,";",Led!D36,";",Led!F36,";",0))</f>
        <v>HUG066;;;0</v>
      </c>
      <c r="B61">
        <v>35</v>
      </c>
    </row>
    <row r="62" spans="1:2" x14ac:dyDescent="0.2">
      <c r="A62" s="80" t="str">
        <f>IF(ISBLANK(Led!F37),"",CONCATENATE(Fältkort!H91,";",Led!D37,";",Led!F37,";",0))</f>
        <v>HUG066;;;0</v>
      </c>
      <c r="B62">
        <v>36</v>
      </c>
    </row>
    <row r="63" spans="1:2" x14ac:dyDescent="0.2">
      <c r="A63" s="80" t="str">
        <f>IF(ISBLANK(Led!F38),"",CONCATENATE(Fältkort!H91,";",Led!D38,";",Led!F38,";",0))</f>
        <v>HUG066;;;0</v>
      </c>
      <c r="B63">
        <v>37</v>
      </c>
    </row>
    <row r="64" spans="1:2" x14ac:dyDescent="0.2">
      <c r="A64" s="80" t="str">
        <f>IF(ISBLANK(Led!F39),"",CONCATENATE(Fältkort!H91,";",Led!D39,";",Led!F39,";",0))</f>
        <v>HUG066;;;0</v>
      </c>
      <c r="B64">
        <v>38</v>
      </c>
    </row>
    <row r="65" spans="1:2" x14ac:dyDescent="0.2">
      <c r="A65" s="80" t="str">
        <f>IF(ISBLANK(Led!F40),"",CONCATENATE(Fältkort!H91,";",Led!D40,";",Led!F40,";",0))</f>
        <v>HUG066;;;0</v>
      </c>
      <c r="B65">
        <v>39</v>
      </c>
    </row>
    <row r="66" spans="1:2" x14ac:dyDescent="0.2">
      <c r="A66" s="80" t="str">
        <f>IF(ISBLANK(Led!F41),"",CONCATENATE(Fältkort!H91,";",Led!D41,";",Led!F41,";",0))</f>
        <v>HUG066;;;0</v>
      </c>
      <c r="B66">
        <v>40</v>
      </c>
    </row>
    <row r="67" spans="1:2" x14ac:dyDescent="0.2">
      <c r="A67" s="80" t="str">
        <f>IF(ISBLANK(Led!F42),"",CONCATENATE(Fältkort!H91,";",Led!D42,";",Led!F42,";",0))</f>
        <v>HUG066;;;0</v>
      </c>
      <c r="B67">
        <v>41</v>
      </c>
    </row>
    <row r="68" spans="1:2" x14ac:dyDescent="0.2">
      <c r="A68" s="80" t="str">
        <f>IF(ISBLANK(Led!F43),"",CONCATENATE(Fältkort!H91,";",Led!D43,";",Led!F43,";",0))</f>
        <v>HUG066;;;0</v>
      </c>
      <c r="B68">
        <v>42</v>
      </c>
    </row>
    <row r="69" spans="1:2" x14ac:dyDescent="0.2">
      <c r="A69" s="80" t="str">
        <f>IF(ISBLANK(Led!F44),"",CONCATENATE(Fältkort!H91,";",Led!D44,";",Led!F44,";",0))</f>
        <v>HUG066;;;0</v>
      </c>
      <c r="B69">
        <v>43</v>
      </c>
    </row>
    <row r="70" spans="1:2" x14ac:dyDescent="0.2">
      <c r="A70" s="80" t="str">
        <f>IF(ISBLANK(Led!F45),"",CONCATENATE(Fältkort!H91,";",Led!D45,";",Led!F45,";",0))</f>
        <v>HUG066;;;0</v>
      </c>
      <c r="B70">
        <v>44</v>
      </c>
    </row>
    <row r="71" spans="1:2" x14ac:dyDescent="0.2">
      <c r="A71" s="80" t="str">
        <f>IF(ISBLANK(Led!F46),"",CONCATENATE(Fältkort!H91,";",Led!D46,";",Led!F46,";",0))</f>
        <v>HUG066;;;0</v>
      </c>
      <c r="B71">
        <v>45</v>
      </c>
    </row>
    <row r="72" spans="1:2" x14ac:dyDescent="0.2">
      <c r="A72" s="80" t="str">
        <f>IF(ISBLANK(Led!F47),"",CONCATENATE(Fältkort!H91,";",Led!D47,";",Led!F47,";",0))</f>
        <v>HUG066;;;0</v>
      </c>
      <c r="B72">
        <v>46</v>
      </c>
    </row>
    <row r="73" spans="1:2" x14ac:dyDescent="0.2">
      <c r="A73" s="80" t="str">
        <f>IF(ISBLANK(Led!F48),"",CONCATENATE(Fältkort!H91,";",Led!D48,";",Led!F48,";",0))</f>
        <v>HUG066;;;0</v>
      </c>
      <c r="B73">
        <v>47</v>
      </c>
    </row>
    <row r="74" spans="1:2" x14ac:dyDescent="0.2">
      <c r="A74" s="80" t="str">
        <f>IF(ISBLANK(Led!F49),"",CONCATENATE(Fältkort!H91,";",Led!D49,";",Led!F49,";",0))</f>
        <v>HUG066;;;0</v>
      </c>
      <c r="B74">
        <v>48</v>
      </c>
    </row>
    <row r="75" spans="1:2" x14ac:dyDescent="0.2">
      <c r="A75" s="80" t="str">
        <f>IF(ISBLANK(Led!F50),"",CONCATENATE(Fältkort!H91,";",Led!D50,";",Led!F50,";",0))</f>
        <v>HUG066;;;0</v>
      </c>
      <c r="B75">
        <v>49</v>
      </c>
    </row>
    <row r="76" spans="1:2" x14ac:dyDescent="0.2">
      <c r="A76" s="80" t="str">
        <f>IF(ISBLANK(Led!F51),"",CONCATENATE(Fältkort!H91,";",Led!D51,";",Led!F51,";",0))</f>
        <v>HUG066;;;0</v>
      </c>
      <c r="B76">
        <v>50</v>
      </c>
    </row>
    <row r="77" spans="1:2" x14ac:dyDescent="0.2">
      <c r="A77" s="80" t="str">
        <f>IF(ISBLANK(Led!F52),"",CONCATENATE(Fältkort!H91,";",Led!D52,";",Led!F52,";",0))</f>
        <v>HUG066;;;0</v>
      </c>
      <c r="B77">
        <v>51</v>
      </c>
    </row>
    <row r="78" spans="1:2" x14ac:dyDescent="0.2">
      <c r="A78" s="80" t="str">
        <f>IF(ISBLANK(Led!F53),"",CONCATENATE(Fältkort!H91,";",Led!D53,";",Led!F53,";",0))</f>
        <v>HUG066;;;0</v>
      </c>
      <c r="B78">
        <v>52</v>
      </c>
    </row>
    <row r="79" spans="1:2" x14ac:dyDescent="0.2">
      <c r="A79" s="80" t="str">
        <f>IF(ISBLANK(Led!F54),"",CONCATENATE(Fältkort!H91,";",Led!D54,";",Led!F54,";",0))</f>
        <v>HUG066;;;0</v>
      </c>
      <c r="B79">
        <v>53</v>
      </c>
    </row>
    <row r="80" spans="1:2" x14ac:dyDescent="0.2">
      <c r="A80" s="80" t="str">
        <f>IF(ISBLANK(Led!F55),"",CONCATENATE(Fältkort!H91,";",Led!D55,";",Led!F55,";",0))</f>
        <v>HUG066;;;0</v>
      </c>
      <c r="B80">
        <v>54</v>
      </c>
    </row>
    <row r="81" spans="1:2" x14ac:dyDescent="0.2">
      <c r="A81" s="80" t="str">
        <f>IF(ISBLANK(Led!F56),"",CONCATENATE(Fältkort!H91,";",Led!D56,";",Led!F56,";",0))</f>
        <v>HUG066;;;0</v>
      </c>
      <c r="B81">
        <v>55</v>
      </c>
    </row>
    <row r="82" spans="1:2" x14ac:dyDescent="0.2">
      <c r="A82" s="80" t="str">
        <f>IF(ISBLANK(Led!F57),"",CONCATENATE(Fältkort!H91,";",Led!D57,";",Led!F57,";",0))</f>
        <v>HUG066;;;0</v>
      </c>
      <c r="B82">
        <v>56</v>
      </c>
    </row>
    <row r="83" spans="1:2" x14ac:dyDescent="0.2">
      <c r="A83" s="80" t="str">
        <f>IF(ISBLANK(Led!F58),"",CONCATENATE(Fältkort!H91,";",Led!D58,";",Led!F58,";",0))</f>
        <v>HUG066;;;0</v>
      </c>
      <c r="B83">
        <v>57</v>
      </c>
    </row>
    <row r="84" spans="1:2" x14ac:dyDescent="0.2">
      <c r="A84" s="80" t="str">
        <f>IF(ISBLANK(Led!F59),"",CONCATENATE(Fältkort!H91,";",Led!D59,";",Led!F59,";",0))</f>
        <v>HUG066;;;0</v>
      </c>
      <c r="B84">
        <v>58</v>
      </c>
    </row>
    <row r="85" spans="1:2" x14ac:dyDescent="0.2">
      <c r="A85" s="80" t="str">
        <f>IF(ISBLANK(Led!F60),"",CONCATENATE(Fältkort!H91,";",Led!D60,";",Led!F60,";",0))</f>
        <v>HUG066;;;0</v>
      </c>
      <c r="B85">
        <v>59</v>
      </c>
    </row>
    <row r="86" spans="1:2" x14ac:dyDescent="0.2">
      <c r="A86" s="80" t="str">
        <f>IF(ISBLANK(Led!F61),"",CONCATENATE(Fältkort!H91,";",Led!D61,";",Led!F61,";",0))</f>
        <v>HUG066;;;0</v>
      </c>
      <c r="B86">
        <v>60</v>
      </c>
    </row>
    <row r="87" spans="1:2" x14ac:dyDescent="0.2">
      <c r="A87" s="80" t="str">
        <f>IF(ISBLANK(Led!F62),"",CONCATENATE(Fältkort!H91,";",Led!D62,";",Led!F62,";",0))</f>
        <v>HUG066;;;0</v>
      </c>
      <c r="B87">
        <v>61</v>
      </c>
    </row>
    <row r="88" spans="1:2" x14ac:dyDescent="0.2">
      <c r="A88" s="80" t="str">
        <f>IF(ISBLANK(Led!F63),"",CONCATENATE(Fältkort!H91,";",Led!D63,";",Led!F63,";",0))</f>
        <v>HUG066;;;0</v>
      </c>
      <c r="B88">
        <v>62</v>
      </c>
    </row>
    <row r="89" spans="1:2" x14ac:dyDescent="0.2">
      <c r="A89" s="80" t="str">
        <f>IF(ISBLANK(Led!F64),"",CONCATENATE(Fältkort!H91,";",Led!D64,";",Led!F64,";",0))</f>
        <v>HUG066;;;0</v>
      </c>
      <c r="B89">
        <v>63</v>
      </c>
    </row>
    <row r="90" spans="1:2" x14ac:dyDescent="0.2">
      <c r="A90" s="80" t="str">
        <f>IF(ISBLANK(Led!F65),"",CONCATENATE(Fältkort!H91,";",Led!D65,";",Led!F65,";",0))</f>
        <v>HUG066;;;0</v>
      </c>
      <c r="B90">
        <v>64</v>
      </c>
    </row>
    <row r="91" spans="1:2" x14ac:dyDescent="0.2">
      <c r="A91" s="80" t="str">
        <f>IF(ISBLANK(Led!F66),"",CONCATENATE(Fältkort!H91,";",Led!D66,";",Led!F66,";",0))</f>
        <v>HUG066;;;0</v>
      </c>
      <c r="B91">
        <v>65</v>
      </c>
    </row>
    <row r="92" spans="1:2" x14ac:dyDescent="0.2">
      <c r="A92" s="80" t="str">
        <f>IF(ISBLANK(Led!F67),"",CONCATENATE(Fältkort!H91,";",Led!D67,";",Led!F67,";",0))</f>
        <v>HUG066;;;0</v>
      </c>
      <c r="B92">
        <v>66</v>
      </c>
    </row>
    <row r="93" spans="1:2" x14ac:dyDescent="0.2">
      <c r="A93" s="80" t="str">
        <f>IF(ISBLANK(Led!F68),"",CONCATENATE(Fältkort!H91,";",Led!D68,";",Led!F68,";",0))</f>
        <v>HUG066;;;0</v>
      </c>
      <c r="B93">
        <v>67</v>
      </c>
    </row>
    <row r="94" spans="1:2" x14ac:dyDescent="0.2">
      <c r="A94" s="80" t="str">
        <f>IF(ISBLANK(Led!F69),"",CONCATENATE(Fältkort!H91,";",Led!D69,";",Led!F69,";",0))</f>
        <v>HUG066;;;0</v>
      </c>
      <c r="B94">
        <v>68</v>
      </c>
    </row>
    <row r="95" spans="1:2" x14ac:dyDescent="0.2">
      <c r="A95" s="84"/>
    </row>
  </sheetData>
  <sheetProtection sheet="1" objects="1" scenarios="1"/>
  <phoneticPr fontId="29" type="noConversion"/>
  <pageMargins left="0.5" right="0.4"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S124"/>
  <sheetViews>
    <sheetView topLeftCell="A46" zoomScale="99" zoomScaleNormal="99" workbookViewId="0">
      <selection activeCell="BQ44" sqref="BQ44"/>
    </sheetView>
  </sheetViews>
  <sheetFormatPr defaultRowHeight="15.75" x14ac:dyDescent="0.25"/>
  <cols>
    <col min="1" max="1" width="5" style="20" customWidth="1"/>
    <col min="2" max="33" width="2.5703125" style="20" customWidth="1"/>
    <col min="34" max="34" width="4" style="20" customWidth="1"/>
    <col min="35" max="35" width="6.42578125" style="20" customWidth="1"/>
    <col min="36" max="37" width="6.42578125" style="20" hidden="1" customWidth="1"/>
    <col min="38" max="38" width="10.140625" style="20" hidden="1" customWidth="1"/>
    <col min="39" max="39" width="8" style="20" hidden="1" customWidth="1"/>
    <col min="40" max="40" width="5.140625" style="20" hidden="1" customWidth="1"/>
    <col min="41" max="42" width="9.140625" style="20" hidden="1" customWidth="1"/>
    <col min="43" max="47" width="11.140625" style="20" hidden="1" customWidth="1"/>
    <col min="48" max="48" width="7.7109375" style="20" hidden="1" customWidth="1"/>
    <col min="49" max="49" width="6.28515625" style="20" hidden="1" customWidth="1"/>
    <col min="50" max="50" width="6.7109375" style="20" hidden="1" customWidth="1"/>
    <col min="51" max="51" width="6.42578125" style="20" hidden="1" customWidth="1"/>
    <col min="52" max="53" width="5.42578125" style="20" hidden="1" customWidth="1"/>
    <col min="54" max="64" width="5.85546875" style="20" hidden="1" customWidth="1"/>
    <col min="65" max="65" width="22.5703125" style="20" hidden="1" customWidth="1"/>
    <col min="66" max="66" width="11.140625" style="20" hidden="1" customWidth="1"/>
    <col min="67" max="67" width="9.140625" style="20" hidden="1" customWidth="1"/>
    <col min="68" max="68" width="7.140625" style="20" hidden="1" customWidth="1"/>
    <col min="69" max="16384" width="9.140625" style="20"/>
  </cols>
  <sheetData>
    <row r="1" spans="1:68" s="18" customFormat="1" ht="26.25" x14ac:dyDescent="0.4">
      <c r="E1" s="327"/>
      <c r="F1" s="327"/>
      <c r="G1" s="31" t="s">
        <v>1</v>
      </c>
      <c r="H1" s="31"/>
      <c r="I1" s="31"/>
      <c r="J1" s="31"/>
      <c r="K1" s="31"/>
      <c r="L1" s="31"/>
      <c r="M1" s="31"/>
      <c r="N1" s="31"/>
      <c r="O1" s="838" t="s">
        <v>177</v>
      </c>
      <c r="P1" s="838"/>
      <c r="Q1" s="838"/>
      <c r="R1" s="838"/>
      <c r="S1" s="838"/>
      <c r="T1" s="838"/>
      <c r="U1" s="838"/>
      <c r="V1" s="838"/>
      <c r="W1" s="838"/>
      <c r="X1" s="838"/>
      <c r="Y1" s="838"/>
      <c r="Z1" s="31" t="s">
        <v>1450</v>
      </c>
      <c r="AA1" s="31"/>
      <c r="AB1" s="31"/>
      <c r="AC1" s="31"/>
      <c r="AD1" s="31"/>
      <c r="AE1" s="31"/>
      <c r="AF1" s="31"/>
      <c r="AG1" s="31"/>
      <c r="AH1" s="31"/>
      <c r="AI1" s="31"/>
      <c r="AJ1" s="388"/>
      <c r="AK1" s="31"/>
      <c r="AL1" s="301" t="str">
        <f>AF7</f>
        <v>Stråsäd</v>
      </c>
      <c r="AM1" s="301">
        <f>SUM(AN2:AN17)</f>
        <v>10</v>
      </c>
      <c r="AN1" s="267"/>
      <c r="AO1" s="176"/>
      <c r="AP1" s="176"/>
      <c r="AQ1" s="178" t="s">
        <v>615</v>
      </c>
      <c r="AR1" s="383" t="s">
        <v>998</v>
      </c>
      <c r="AS1" s="383">
        <v>24</v>
      </c>
      <c r="BE1" s="19"/>
      <c r="BF1" s="19"/>
      <c r="BG1" s="19"/>
      <c r="BH1" s="19"/>
      <c r="BI1" s="19"/>
      <c r="BJ1" s="19"/>
      <c r="BK1" s="19"/>
      <c r="BP1" s="388"/>
    </row>
    <row r="2" spans="1:68" ht="17.25" customHeight="1" x14ac:dyDescent="0.25">
      <c r="E2" s="162"/>
      <c r="F2" s="162"/>
      <c r="G2" s="841"/>
      <c r="H2" s="841"/>
      <c r="I2" s="841"/>
      <c r="J2" s="841"/>
      <c r="K2" s="32"/>
      <c r="L2" s="32"/>
      <c r="M2" s="32"/>
      <c r="N2" s="32"/>
      <c r="O2" s="32"/>
      <c r="P2" s="33"/>
      <c r="Q2" s="482"/>
      <c r="R2" s="32"/>
      <c r="S2" s="32"/>
      <c r="T2" s="32"/>
      <c r="U2" s="32"/>
      <c r="V2" s="32"/>
      <c r="W2" s="32"/>
      <c r="X2" s="32"/>
      <c r="Y2" s="32"/>
      <c r="Z2" s="34" t="s">
        <v>259</v>
      </c>
      <c r="AA2" s="35"/>
      <c r="AB2" s="35"/>
      <c r="AC2" s="35"/>
      <c r="AD2" s="35"/>
      <c r="AE2" s="845" t="s">
        <v>1213</v>
      </c>
      <c r="AF2" s="846"/>
      <c r="AG2" s="846"/>
      <c r="AH2" s="846"/>
      <c r="AI2" s="161"/>
      <c r="AJ2" s="161"/>
      <c r="AK2" s="161"/>
      <c r="AL2" s="267" t="s">
        <v>910</v>
      </c>
      <c r="AM2" s="269">
        <v>10</v>
      </c>
      <c r="AN2" s="267">
        <f t="shared" ref="AN2:AN16" si="0">IF(AF$7=AL2,AM2,0)</f>
        <v>10</v>
      </c>
      <c r="AO2" s="177" t="s">
        <v>840</v>
      </c>
      <c r="AP2" s="177" t="s">
        <v>1008</v>
      </c>
      <c r="AQ2" s="179" t="s">
        <v>616</v>
      </c>
      <c r="AR2" s="383" t="s">
        <v>999</v>
      </c>
      <c r="AS2" s="383"/>
      <c r="AV2" s="21">
        <v>10</v>
      </c>
      <c r="AW2" s="21">
        <v>20</v>
      </c>
      <c r="AX2" s="21">
        <v>30</v>
      </c>
      <c r="AY2" s="21">
        <v>40</v>
      </c>
      <c r="AZ2" s="21">
        <v>50</v>
      </c>
      <c r="BA2" s="21">
        <v>60</v>
      </c>
      <c r="BB2" s="21">
        <v>70</v>
      </c>
      <c r="BC2" s="21">
        <v>80</v>
      </c>
      <c r="BD2" s="21">
        <v>90</v>
      </c>
      <c r="BE2" s="21">
        <v>100</v>
      </c>
      <c r="BF2" s="21">
        <v>110</v>
      </c>
      <c r="BG2" s="21">
        <v>120</v>
      </c>
      <c r="BH2" s="21">
        <v>130</v>
      </c>
      <c r="BI2" s="21">
        <v>140</v>
      </c>
      <c r="BJ2" s="21">
        <v>150</v>
      </c>
      <c r="BK2" s="271">
        <v>1</v>
      </c>
      <c r="BL2" s="21"/>
      <c r="BM2" s="302" t="s">
        <v>866</v>
      </c>
      <c r="BN2" s="274" t="s">
        <v>839</v>
      </c>
      <c r="BO2" s="274" t="s">
        <v>838</v>
      </c>
      <c r="BP2" s="274" t="s">
        <v>151</v>
      </c>
    </row>
    <row r="3" spans="1:68" ht="17.25" customHeight="1" x14ac:dyDescent="0.25">
      <c r="E3" s="162"/>
      <c r="F3" s="162"/>
      <c r="G3" s="365"/>
      <c r="H3" s="365"/>
      <c r="I3" s="365"/>
      <c r="J3" s="365"/>
      <c r="K3" s="32"/>
      <c r="L3" s="32"/>
      <c r="M3" s="32"/>
      <c r="N3" s="32"/>
      <c r="O3" s="32"/>
      <c r="P3" s="33"/>
      <c r="Q3" s="32"/>
      <c r="R3" s="32"/>
      <c r="S3" s="32"/>
      <c r="T3" s="32"/>
      <c r="U3" s="32"/>
      <c r="V3" s="32"/>
      <c r="W3" s="32"/>
      <c r="X3" s="32"/>
      <c r="Y3" s="32"/>
      <c r="Z3" s="34"/>
      <c r="AA3" s="35"/>
      <c r="AB3" s="35"/>
      <c r="AC3" s="35"/>
      <c r="AD3" s="35"/>
      <c r="AE3" s="160"/>
      <c r="AF3" s="161"/>
      <c r="AG3" s="161"/>
      <c r="AH3" s="161"/>
      <c r="AI3" s="161"/>
      <c r="AJ3" s="161"/>
      <c r="AK3" s="161"/>
      <c r="AL3" s="267" t="s">
        <v>195</v>
      </c>
      <c r="AM3" s="269">
        <v>20</v>
      </c>
      <c r="AN3" s="267">
        <f t="shared" si="0"/>
        <v>0</v>
      </c>
      <c r="AO3" s="177" t="s">
        <v>841</v>
      </c>
      <c r="AP3" s="177" t="s">
        <v>1009</v>
      </c>
      <c r="AQ3" s="179" t="s">
        <v>620</v>
      </c>
      <c r="AR3" s="383" t="s">
        <v>1000</v>
      </c>
      <c r="AS3" s="383"/>
      <c r="AU3" s="272" t="str">
        <f>HLOOKUP($AM$1,$AV$2:$BJ$19,BK3)</f>
        <v>Stråsäd</v>
      </c>
      <c r="AV3" s="190" t="s">
        <v>910</v>
      </c>
      <c r="AW3" s="190" t="s">
        <v>195</v>
      </c>
      <c r="AX3" s="190" t="s">
        <v>198</v>
      </c>
      <c r="AY3" s="190" t="s">
        <v>636</v>
      </c>
      <c r="AZ3" s="190" t="s">
        <v>200</v>
      </c>
      <c r="BA3" s="190" t="s">
        <v>201</v>
      </c>
      <c r="BB3" s="190" t="s">
        <v>202</v>
      </c>
      <c r="BC3" s="190" t="s">
        <v>229</v>
      </c>
      <c r="BD3" s="190" t="s">
        <v>230</v>
      </c>
      <c r="BE3" s="190" t="s">
        <v>447</v>
      </c>
      <c r="BF3" s="190" t="s">
        <v>638</v>
      </c>
      <c r="BG3" s="190" t="s">
        <v>637</v>
      </c>
      <c r="BH3" s="190" t="s">
        <v>639</v>
      </c>
      <c r="BI3" s="190" t="str">
        <f>AL15</f>
        <v>Morötter</v>
      </c>
      <c r="BJ3" s="190">
        <f>AL16</f>
        <v>0</v>
      </c>
      <c r="BK3" s="271">
        <v>2</v>
      </c>
      <c r="BM3" s="302" t="s">
        <v>865</v>
      </c>
      <c r="BN3" s="274" t="s">
        <v>839</v>
      </c>
      <c r="BO3" s="274" t="s">
        <v>838</v>
      </c>
      <c r="BP3" s="274" t="s">
        <v>151</v>
      </c>
    </row>
    <row r="4" spans="1:68" ht="17.25" customHeight="1" x14ac:dyDescent="0.25">
      <c r="E4" s="162"/>
      <c r="F4" s="162"/>
      <c r="G4" s="365"/>
      <c r="H4" s="365"/>
      <c r="I4" s="365"/>
      <c r="J4" s="365"/>
      <c r="K4" s="32"/>
      <c r="L4" s="32"/>
      <c r="M4" s="32"/>
      <c r="N4" s="32"/>
      <c r="O4" s="32"/>
      <c r="P4" s="33"/>
      <c r="Q4" s="32"/>
      <c r="R4" s="32"/>
      <c r="S4" s="32"/>
      <c r="T4" s="32"/>
      <c r="U4" s="32"/>
      <c r="V4" s="32"/>
      <c r="W4" s="32"/>
      <c r="X4" s="32"/>
      <c r="Y4" s="32"/>
      <c r="Z4" s="34"/>
      <c r="AA4" s="35"/>
      <c r="AB4" s="35"/>
      <c r="AC4" s="35"/>
      <c r="AD4" s="35"/>
      <c r="AE4" s="160"/>
      <c r="AF4" s="161"/>
      <c r="AG4" s="161"/>
      <c r="AH4" s="273" t="s">
        <v>46</v>
      </c>
      <c r="AI4" s="161"/>
      <c r="AJ4" s="161"/>
      <c r="AK4" s="161"/>
      <c r="AL4" s="267" t="s">
        <v>198</v>
      </c>
      <c r="AM4" s="269">
        <v>30</v>
      </c>
      <c r="AN4" s="267">
        <f t="shared" si="0"/>
        <v>0</v>
      </c>
      <c r="AO4" s="177" t="s">
        <v>225</v>
      </c>
      <c r="AP4" s="177" t="s">
        <v>1010</v>
      </c>
      <c r="AQ4" s="179" t="s">
        <v>135</v>
      </c>
      <c r="AR4" s="383" t="s">
        <v>1001</v>
      </c>
      <c r="AS4" s="383">
        <v>21</v>
      </c>
      <c r="AT4" s="21" t="s">
        <v>752</v>
      </c>
      <c r="AU4" s="272">
        <f>HLOOKUP($AM$1,$AV$2:$BJ$19,BK4)</f>
        <v>0</v>
      </c>
      <c r="AV4" s="191"/>
      <c r="AW4" s="191"/>
      <c r="AX4" s="189"/>
      <c r="AY4" s="189"/>
      <c r="AZ4" s="189"/>
      <c r="BA4" s="189"/>
      <c r="BB4" s="189"/>
      <c r="BC4" s="189"/>
      <c r="BD4" s="189"/>
      <c r="BE4" s="189"/>
      <c r="BF4" s="189"/>
      <c r="BG4" s="189"/>
      <c r="BH4" s="189"/>
      <c r="BI4" s="189"/>
      <c r="BJ4" s="189"/>
      <c r="BK4" s="271">
        <v>3</v>
      </c>
      <c r="BM4" s="302" t="s">
        <v>765</v>
      </c>
      <c r="BN4" s="274" t="s">
        <v>836</v>
      </c>
      <c r="BO4" s="274" t="s">
        <v>837</v>
      </c>
      <c r="BP4" s="274" t="s">
        <v>151</v>
      </c>
    </row>
    <row r="5" spans="1:68" ht="17.25" customHeight="1" x14ac:dyDescent="0.3">
      <c r="E5" s="162"/>
      <c r="F5" s="162"/>
      <c r="G5" s="32"/>
      <c r="H5" s="32"/>
      <c r="I5" s="32"/>
      <c r="J5" s="32"/>
      <c r="K5" s="37" t="s">
        <v>171</v>
      </c>
      <c r="L5" s="36"/>
      <c r="M5" s="36"/>
      <c r="N5" s="36"/>
      <c r="O5" s="36"/>
      <c r="P5" s="36"/>
      <c r="Q5" s="36"/>
      <c r="R5" s="36"/>
      <c r="S5" s="36"/>
      <c r="T5" s="36"/>
      <c r="U5" s="36"/>
      <c r="V5" s="36"/>
      <c r="W5" s="36"/>
      <c r="X5" s="37" t="s">
        <v>172</v>
      </c>
      <c r="Y5" s="36"/>
      <c r="Z5" s="36"/>
      <c r="AA5" s="36"/>
      <c r="AB5" s="36"/>
      <c r="AC5" s="847">
        <v>41774</v>
      </c>
      <c r="AD5" s="847"/>
      <c r="AE5" s="847"/>
      <c r="AF5" s="847"/>
      <c r="AG5" s="847"/>
      <c r="AH5" s="847"/>
      <c r="AI5" s="205"/>
      <c r="AJ5" s="205"/>
      <c r="AK5" s="205"/>
      <c r="AL5" s="267" t="s">
        <v>199</v>
      </c>
      <c r="AM5" s="269">
        <v>40</v>
      </c>
      <c r="AN5" s="267">
        <f t="shared" si="0"/>
        <v>0</v>
      </c>
      <c r="AO5" s="177" t="s">
        <v>842</v>
      </c>
      <c r="AP5" s="177" t="s">
        <v>1011</v>
      </c>
      <c r="AQ5" s="179" t="s">
        <v>622</v>
      </c>
      <c r="AR5" s="383" t="s">
        <v>1003</v>
      </c>
      <c r="AS5" s="383">
        <v>26</v>
      </c>
      <c r="AT5" s="21" t="s">
        <v>753</v>
      </c>
      <c r="AU5" s="272">
        <f t="shared" ref="AU5:AU19" si="1">HLOOKUP($AM$1,$AV$2:$BJ$19,BK5)</f>
        <v>0</v>
      </c>
      <c r="AV5" s="191"/>
      <c r="AW5" s="191"/>
      <c r="AX5" s="189"/>
      <c r="AY5" s="189"/>
      <c r="AZ5" s="189"/>
      <c r="BA5" s="189"/>
      <c r="BB5" s="189"/>
      <c r="BC5" s="189"/>
      <c r="BD5" s="189"/>
      <c r="BE5" s="189"/>
      <c r="BF5" s="189"/>
      <c r="BG5" s="189"/>
      <c r="BH5" s="189"/>
      <c r="BI5" s="189"/>
      <c r="BJ5" s="189"/>
      <c r="BK5" s="271">
        <v>4</v>
      </c>
      <c r="BM5" s="302" t="s">
        <v>797</v>
      </c>
      <c r="BN5" s="274" t="s">
        <v>836</v>
      </c>
      <c r="BO5" s="274" t="s">
        <v>837</v>
      </c>
      <c r="BP5" s="274" t="s">
        <v>151</v>
      </c>
    </row>
    <row r="6" spans="1:68" s="24" customFormat="1" ht="17.25" customHeight="1" x14ac:dyDescent="0.3">
      <c r="A6" s="41" t="s">
        <v>173</v>
      </c>
      <c r="B6" s="40"/>
      <c r="C6" s="40"/>
      <c r="D6" s="40"/>
      <c r="E6" s="40"/>
      <c r="F6" s="40"/>
      <c r="G6" s="38" t="s">
        <v>1384</v>
      </c>
      <c r="H6" s="40"/>
      <c r="I6" s="40"/>
      <c r="J6" s="40"/>
      <c r="K6" s="40"/>
      <c r="L6" s="40"/>
      <c r="M6" s="40"/>
      <c r="N6" s="40"/>
      <c r="O6" s="40"/>
      <c r="P6" s="40"/>
      <c r="Q6" s="40"/>
      <c r="R6" s="40"/>
      <c r="S6" s="40"/>
      <c r="T6" s="485" t="s">
        <v>1215</v>
      </c>
      <c r="U6" s="526" t="s">
        <v>1418</v>
      </c>
      <c r="V6" s="40"/>
      <c r="W6" s="40"/>
      <c r="X6" s="40"/>
      <c r="Y6" s="40"/>
      <c r="Z6" s="40"/>
      <c r="AA6" s="40"/>
      <c r="AB6" s="40"/>
      <c r="AC6" s="43"/>
      <c r="AD6" s="43"/>
      <c r="AE6" s="188" t="s">
        <v>258</v>
      </c>
      <c r="AF6" s="831">
        <v>2014</v>
      </c>
      <c r="AG6" s="831"/>
      <c r="AH6" s="832"/>
      <c r="AJ6" s="205"/>
      <c r="AL6" s="267" t="s">
        <v>200</v>
      </c>
      <c r="AM6" s="269">
        <v>50</v>
      </c>
      <c r="AN6" s="267">
        <f t="shared" si="0"/>
        <v>0</v>
      </c>
      <c r="AO6" s="177" t="s">
        <v>228</v>
      </c>
      <c r="AP6" s="177" t="s">
        <v>1012</v>
      </c>
      <c r="AQ6" s="179" t="s">
        <v>623</v>
      </c>
      <c r="AR6" s="383" t="s">
        <v>1002</v>
      </c>
      <c r="AS6" s="383">
        <v>25</v>
      </c>
      <c r="AT6" s="21" t="s">
        <v>754</v>
      </c>
      <c r="AU6" s="272">
        <f t="shared" si="1"/>
        <v>0</v>
      </c>
      <c r="AV6" s="191"/>
      <c r="AW6" s="191"/>
      <c r="AX6" s="189"/>
      <c r="AY6" s="189"/>
      <c r="AZ6" s="189"/>
      <c r="BA6" s="189"/>
      <c r="BB6" s="189"/>
      <c r="BC6" s="189"/>
      <c r="BD6" s="189"/>
      <c r="BE6" s="189"/>
      <c r="BF6" s="189"/>
      <c r="BG6" s="189"/>
      <c r="BH6" s="189"/>
      <c r="BI6" s="189"/>
      <c r="BJ6" s="189"/>
      <c r="BK6" s="271">
        <v>5</v>
      </c>
      <c r="BM6" s="302" t="s">
        <v>864</v>
      </c>
      <c r="BN6" s="274" t="s">
        <v>839</v>
      </c>
      <c r="BO6" s="274" t="s">
        <v>838</v>
      </c>
      <c r="BP6" s="274" t="s">
        <v>151</v>
      </c>
    </row>
    <row r="7" spans="1:68" ht="17.25" customHeight="1" x14ac:dyDescent="0.3">
      <c r="A7" s="42" t="s">
        <v>174</v>
      </c>
      <c r="B7" s="43"/>
      <c r="C7" s="43"/>
      <c r="D7" s="43"/>
      <c r="E7" s="43"/>
      <c r="F7" s="43"/>
      <c r="G7" s="44" t="s">
        <v>1440</v>
      </c>
      <c r="H7" s="43"/>
      <c r="I7" s="43"/>
      <c r="J7" s="43"/>
      <c r="K7" s="43"/>
      <c r="L7" s="43"/>
      <c r="M7" s="43"/>
      <c r="N7" s="43"/>
      <c r="O7" s="43"/>
      <c r="P7" s="43"/>
      <c r="Q7" s="43"/>
      <c r="R7" s="43"/>
      <c r="S7" s="43"/>
      <c r="T7" s="43"/>
      <c r="U7" s="43"/>
      <c r="V7" s="43"/>
      <c r="W7" s="43"/>
      <c r="X7" s="43"/>
      <c r="Y7" s="43"/>
      <c r="Z7" s="43"/>
      <c r="AA7" s="43"/>
      <c r="AB7" s="43" t="s">
        <v>196</v>
      </c>
      <c r="AC7" s="43"/>
      <c r="AD7" s="43"/>
      <c r="AE7" s="43"/>
      <c r="AF7" s="834" t="s">
        <v>910</v>
      </c>
      <c r="AG7" s="834"/>
      <c r="AH7" s="834"/>
      <c r="AI7" s="32"/>
      <c r="AJ7" s="205"/>
      <c r="AK7" s="32"/>
      <c r="AL7" s="267" t="s">
        <v>201</v>
      </c>
      <c r="AM7" s="269">
        <v>60</v>
      </c>
      <c r="AN7" s="267">
        <f t="shared" si="0"/>
        <v>0</v>
      </c>
      <c r="AO7" s="177" t="s">
        <v>843</v>
      </c>
      <c r="AP7" s="177" t="s">
        <v>1013</v>
      </c>
      <c r="AQ7" s="179" t="s">
        <v>617</v>
      </c>
      <c r="AR7" s="383" t="s">
        <v>1004</v>
      </c>
      <c r="AS7" s="383">
        <v>26</v>
      </c>
      <c r="AT7" s="21" t="s">
        <v>231</v>
      </c>
      <c r="AU7" s="272" t="str">
        <f t="shared" si="1"/>
        <v>+14-21 dagar</v>
      </c>
      <c r="AV7" s="193" t="s">
        <v>1130</v>
      </c>
      <c r="AW7" s="193" t="s">
        <v>1128</v>
      </c>
      <c r="AX7" s="192" t="s">
        <v>1141</v>
      </c>
      <c r="AY7" s="192" t="s">
        <v>755</v>
      </c>
      <c r="AZ7" s="192"/>
      <c r="BA7" s="193" t="s">
        <v>1136</v>
      </c>
      <c r="BB7" s="192"/>
      <c r="BC7" s="192"/>
      <c r="BD7" s="193" t="s">
        <v>1128</v>
      </c>
      <c r="BE7" s="192"/>
      <c r="BF7" s="192"/>
      <c r="BG7" s="193"/>
      <c r="BH7" s="192"/>
      <c r="BI7" s="192"/>
      <c r="BJ7" s="192"/>
      <c r="BK7" s="271">
        <v>6</v>
      </c>
      <c r="BM7" s="302" t="s">
        <v>760</v>
      </c>
      <c r="BN7" s="274" t="s">
        <v>151</v>
      </c>
      <c r="BO7" s="274" t="s">
        <v>833</v>
      </c>
      <c r="BP7" s="274" t="s">
        <v>151</v>
      </c>
    </row>
    <row r="8" spans="1:68" x14ac:dyDescent="0.25">
      <c r="A8" s="166" t="s">
        <v>179</v>
      </c>
      <c r="B8" s="43"/>
      <c r="C8" s="43"/>
      <c r="D8" s="43"/>
      <c r="E8" s="43"/>
      <c r="F8" s="43"/>
      <c r="G8" s="165" t="s">
        <v>1439</v>
      </c>
      <c r="H8" s="43"/>
      <c r="I8" s="43"/>
      <c r="J8" s="43"/>
      <c r="K8" s="43"/>
      <c r="L8" s="43"/>
      <c r="M8" s="43"/>
      <c r="N8" s="43"/>
      <c r="O8" s="43"/>
      <c r="P8" s="43"/>
      <c r="Q8" s="43"/>
      <c r="R8" s="43"/>
      <c r="S8" s="43"/>
      <c r="T8" s="43"/>
      <c r="U8" s="43"/>
      <c r="V8" s="43"/>
      <c r="W8" s="43"/>
      <c r="X8" s="43"/>
      <c r="Y8" s="43"/>
      <c r="Z8" s="43"/>
      <c r="AA8" s="43"/>
      <c r="AB8" s="43" t="s">
        <v>197</v>
      </c>
      <c r="AC8" s="43"/>
      <c r="AD8" s="43"/>
      <c r="AE8" s="43"/>
      <c r="AF8" s="834" t="s">
        <v>1175</v>
      </c>
      <c r="AG8" s="834"/>
      <c r="AH8" s="834"/>
      <c r="AI8" s="32"/>
      <c r="AJ8" s="32"/>
      <c r="AK8" s="32"/>
      <c r="AL8" s="267" t="s">
        <v>202</v>
      </c>
      <c r="AM8" s="269">
        <v>70</v>
      </c>
      <c r="AN8" s="267">
        <f t="shared" si="0"/>
        <v>0</v>
      </c>
      <c r="AO8" s="177" t="s">
        <v>844</v>
      </c>
      <c r="AP8" s="177" t="s">
        <v>1014</v>
      </c>
      <c r="AQ8" s="179" t="s">
        <v>618</v>
      </c>
      <c r="AR8" s="383" t="s">
        <v>1005</v>
      </c>
      <c r="AS8" s="383"/>
      <c r="AT8" s="21" t="s">
        <v>232</v>
      </c>
      <c r="AU8" s="272">
        <f t="shared" si="1"/>
        <v>0</v>
      </c>
      <c r="AV8" s="192"/>
      <c r="AW8" s="192"/>
      <c r="AX8" s="192"/>
      <c r="AY8" s="192"/>
      <c r="AZ8" s="192"/>
      <c r="BA8" s="192"/>
      <c r="BB8" s="192"/>
      <c r="BC8" s="192"/>
      <c r="BD8" s="192"/>
      <c r="BE8" s="192"/>
      <c r="BF8" s="192"/>
      <c r="BG8" s="192"/>
      <c r="BH8" s="192"/>
      <c r="BI8" s="192"/>
      <c r="BJ8" s="192"/>
      <c r="BK8" s="271">
        <v>7</v>
      </c>
      <c r="BM8" s="302" t="s">
        <v>792</v>
      </c>
      <c r="BN8" s="274" t="s">
        <v>151</v>
      </c>
      <c r="BO8" s="274" t="s">
        <v>834</v>
      </c>
      <c r="BP8" s="274" t="s">
        <v>151</v>
      </c>
    </row>
    <row r="9" spans="1:68" ht="15.75" customHeight="1" x14ac:dyDescent="0.25">
      <c r="A9" s="42"/>
      <c r="B9" s="32"/>
      <c r="C9" s="32"/>
      <c r="D9" s="32"/>
      <c r="E9" s="32"/>
      <c r="F9" s="32"/>
      <c r="G9" s="32"/>
      <c r="H9" s="32"/>
      <c r="I9" s="32"/>
      <c r="J9" s="32"/>
      <c r="K9" s="32"/>
      <c r="L9" s="32"/>
      <c r="M9" s="43"/>
      <c r="N9" s="43"/>
      <c r="O9" s="43"/>
      <c r="P9" s="43"/>
      <c r="Q9" s="43"/>
      <c r="R9" s="43"/>
      <c r="S9" s="43"/>
      <c r="T9" s="43"/>
      <c r="U9" s="43"/>
      <c r="V9" s="43"/>
      <c r="W9" s="43"/>
      <c r="X9" s="43"/>
      <c r="Y9" s="43"/>
      <c r="Z9" s="43"/>
      <c r="AA9" s="43"/>
      <c r="AB9" s="43" t="s">
        <v>451</v>
      </c>
      <c r="AC9" s="43"/>
      <c r="AD9" s="43"/>
      <c r="AE9" s="43"/>
      <c r="AF9" s="849">
        <v>1</v>
      </c>
      <c r="AG9" s="849"/>
      <c r="AH9" s="849"/>
      <c r="AI9" s="32"/>
      <c r="AJ9" s="32"/>
      <c r="AK9" s="32"/>
      <c r="AL9" s="267" t="s">
        <v>789</v>
      </c>
      <c r="AM9" s="269">
        <v>80</v>
      </c>
      <c r="AN9" s="267">
        <f t="shared" si="0"/>
        <v>0</v>
      </c>
      <c r="AO9" s="177" t="s">
        <v>409</v>
      </c>
      <c r="AP9" s="177" t="s">
        <v>1015</v>
      </c>
      <c r="AQ9" s="179" t="s">
        <v>619</v>
      </c>
      <c r="AR9" s="383" t="s">
        <v>1006</v>
      </c>
      <c r="AS9" s="383">
        <v>25</v>
      </c>
      <c r="AT9" s="21" t="s">
        <v>233</v>
      </c>
      <c r="AU9" s="272" t="str">
        <f t="shared" si="1"/>
        <v>+21-28 dagar</v>
      </c>
      <c r="AV9" s="304" t="s">
        <v>1129</v>
      </c>
      <c r="AW9" s="304" t="s">
        <v>1129</v>
      </c>
      <c r="AX9" s="304" t="s">
        <v>1141</v>
      </c>
      <c r="AY9" s="304" t="s">
        <v>1141</v>
      </c>
      <c r="AZ9" s="303"/>
      <c r="BA9" s="304" t="s">
        <v>1136</v>
      </c>
      <c r="BB9" s="303"/>
      <c r="BC9" s="303"/>
      <c r="BD9" s="303" t="s">
        <v>1151</v>
      </c>
      <c r="BE9" s="303"/>
      <c r="BF9" s="303"/>
      <c r="BG9" s="304"/>
      <c r="BH9" s="303"/>
      <c r="BI9" s="303" t="s">
        <v>1154</v>
      </c>
      <c r="BJ9" s="303"/>
      <c r="BK9" s="271">
        <v>8</v>
      </c>
      <c r="BM9" s="302" t="s">
        <v>762</v>
      </c>
      <c r="BN9" s="274" t="s">
        <v>151</v>
      </c>
      <c r="BO9" s="274" t="s">
        <v>834</v>
      </c>
      <c r="BP9" s="274" t="s">
        <v>151</v>
      </c>
    </row>
    <row r="10" spans="1:68" x14ac:dyDescent="0.25">
      <c r="A10" s="42" t="s">
        <v>0</v>
      </c>
      <c r="B10" s="43"/>
      <c r="C10" s="43"/>
      <c r="D10" s="43"/>
      <c r="E10" s="43"/>
      <c r="F10" s="43"/>
      <c r="G10" s="43" t="s">
        <v>206</v>
      </c>
      <c r="H10" s="43"/>
      <c r="I10" s="43"/>
      <c r="J10" s="43"/>
      <c r="K10" s="43"/>
      <c r="L10" s="827" t="s">
        <v>857</v>
      </c>
      <c r="M10" s="827"/>
      <c r="N10" s="827"/>
      <c r="O10" s="827"/>
      <c r="P10" s="827"/>
      <c r="Q10" s="827"/>
      <c r="R10" s="827"/>
      <c r="S10" s="827"/>
      <c r="T10" s="827"/>
      <c r="U10" s="43"/>
      <c r="V10" s="43"/>
      <c r="W10" s="43"/>
      <c r="X10" s="43"/>
      <c r="Y10" s="43"/>
      <c r="Z10" s="43"/>
      <c r="AA10" s="43"/>
      <c r="AB10" s="43"/>
      <c r="AC10" s="43"/>
      <c r="AD10" s="43"/>
      <c r="AE10" s="43"/>
      <c r="AF10" s="43"/>
      <c r="AG10" s="43"/>
      <c r="AH10" s="49"/>
      <c r="AI10" s="32"/>
      <c r="AJ10" s="32"/>
      <c r="AK10" s="32"/>
      <c r="AL10" s="267" t="s">
        <v>788</v>
      </c>
      <c r="AM10" s="269">
        <v>90</v>
      </c>
      <c r="AN10" s="267">
        <f t="shared" si="0"/>
        <v>0</v>
      </c>
      <c r="AO10" s="177" t="s">
        <v>845</v>
      </c>
      <c r="AP10" s="177" t="s">
        <v>1016</v>
      </c>
      <c r="AQ10" s="180" t="s">
        <v>621</v>
      </c>
      <c r="AR10" s="383" t="s">
        <v>1007</v>
      </c>
      <c r="AS10" s="383">
        <v>20</v>
      </c>
      <c r="AT10" s="21" t="s">
        <v>234</v>
      </c>
      <c r="AU10" s="272" t="str">
        <f t="shared" si="1"/>
        <v>+14-21 dagar</v>
      </c>
      <c r="AV10" s="304" t="s">
        <v>1130</v>
      </c>
      <c r="AW10" s="304" t="s">
        <v>1130</v>
      </c>
      <c r="AX10" s="303" t="s">
        <v>1145</v>
      </c>
      <c r="AY10" s="303" t="s">
        <v>1145</v>
      </c>
      <c r="AZ10" s="303"/>
      <c r="BA10" s="304" t="s">
        <v>1137</v>
      </c>
      <c r="BB10" s="303"/>
      <c r="BC10" s="303"/>
      <c r="BD10" s="303" t="s">
        <v>1152</v>
      </c>
      <c r="BE10" s="303"/>
      <c r="BF10" s="303"/>
      <c r="BG10" s="303"/>
      <c r="BH10" s="303"/>
      <c r="BI10" s="303"/>
      <c r="BJ10" s="303"/>
      <c r="BK10" s="271">
        <v>9</v>
      </c>
      <c r="BM10" s="302" t="s">
        <v>764</v>
      </c>
      <c r="BN10" s="274" t="s">
        <v>151</v>
      </c>
      <c r="BO10" s="274" t="s">
        <v>834</v>
      </c>
      <c r="BP10" s="274" t="s">
        <v>151</v>
      </c>
    </row>
    <row r="11" spans="1:68" x14ac:dyDescent="0.25">
      <c r="A11" s="42" t="s">
        <v>175</v>
      </c>
      <c r="B11" s="43"/>
      <c r="C11" s="43"/>
      <c r="D11" s="43"/>
      <c r="E11" s="43"/>
      <c r="F11" s="43"/>
      <c r="G11" s="43" t="s">
        <v>178</v>
      </c>
      <c r="H11" s="43"/>
      <c r="I11" s="43"/>
      <c r="J11" s="43"/>
      <c r="K11" s="43"/>
      <c r="L11" s="43"/>
      <c r="M11" s="43"/>
      <c r="N11" s="43"/>
      <c r="O11" s="43"/>
      <c r="P11" s="43"/>
      <c r="Q11" s="43"/>
      <c r="R11" s="43"/>
      <c r="S11" s="43"/>
      <c r="T11" s="43"/>
      <c r="U11" s="43"/>
      <c r="V11" s="43"/>
      <c r="W11" s="43"/>
      <c r="X11" s="43"/>
      <c r="Y11" s="43"/>
      <c r="Z11" s="43"/>
      <c r="AA11" s="162"/>
      <c r="AB11" s="162"/>
      <c r="AC11" s="162"/>
      <c r="AD11" s="162"/>
      <c r="AE11" s="162"/>
      <c r="AF11" s="162"/>
      <c r="AG11" s="43"/>
      <c r="AH11" s="49"/>
      <c r="AI11" s="32"/>
      <c r="AJ11" s="32"/>
      <c r="AK11" s="32"/>
      <c r="AL11" s="267" t="s">
        <v>447</v>
      </c>
      <c r="AM11" s="269">
        <v>100</v>
      </c>
      <c r="AN11" s="267">
        <f t="shared" si="0"/>
        <v>0</v>
      </c>
      <c r="AO11" s="177" t="s">
        <v>846</v>
      </c>
      <c r="AP11" s="384" t="s">
        <v>1008</v>
      </c>
      <c r="AT11" s="21" t="s">
        <v>235</v>
      </c>
      <c r="AU11" s="272" t="str">
        <f t="shared" si="1"/>
        <v>+28-42 dagar</v>
      </c>
      <c r="AV11" s="304" t="s">
        <v>1131</v>
      </c>
      <c r="AW11" s="304" t="s">
        <v>1131</v>
      </c>
      <c r="AX11" s="304" t="s">
        <v>1142</v>
      </c>
      <c r="AY11" s="304" t="s">
        <v>1142</v>
      </c>
      <c r="AZ11" s="303"/>
      <c r="BA11" s="303"/>
      <c r="BB11" s="303"/>
      <c r="BC11" s="303"/>
      <c r="BD11" s="303" t="s">
        <v>1153</v>
      </c>
      <c r="BE11" s="303"/>
      <c r="BF11" s="303"/>
      <c r="BG11" s="303"/>
      <c r="BH11" s="303"/>
      <c r="BI11" s="303"/>
      <c r="BJ11" s="303"/>
      <c r="BK11" s="271">
        <v>10</v>
      </c>
      <c r="BM11" s="302" t="s">
        <v>790</v>
      </c>
      <c r="BN11" s="274" t="s">
        <v>151</v>
      </c>
      <c r="BO11" s="274" t="s">
        <v>151</v>
      </c>
      <c r="BP11" s="274" t="s">
        <v>151</v>
      </c>
    </row>
    <row r="12" spans="1:68" x14ac:dyDescent="0.25">
      <c r="A12" s="42"/>
      <c r="B12" s="43"/>
      <c r="C12" s="43"/>
      <c r="D12" s="43"/>
      <c r="E12" s="43"/>
      <c r="F12" s="43"/>
      <c r="G12" s="43" t="s">
        <v>205</v>
      </c>
      <c r="H12" s="43"/>
      <c r="I12" s="43"/>
      <c r="J12" s="43"/>
      <c r="K12" s="43"/>
      <c r="L12" s="43"/>
      <c r="M12" s="43"/>
      <c r="N12" s="32"/>
      <c r="O12" s="45"/>
      <c r="P12" s="45"/>
      <c r="Q12" s="45"/>
      <c r="R12" s="46" t="str">
        <f>IF(AT11=0,"",AU18)</f>
        <v>PP 1/26(4)</v>
      </c>
      <c r="S12" s="32" t="s">
        <v>204</v>
      </c>
      <c r="T12" s="43"/>
      <c r="U12" s="43"/>
      <c r="V12" s="43"/>
      <c r="W12" s="43"/>
      <c r="X12" s="43"/>
      <c r="Y12" s="43"/>
      <c r="Z12" s="43"/>
      <c r="AA12" s="43"/>
      <c r="AB12" s="43"/>
      <c r="AC12" s="43"/>
      <c r="AD12" s="43"/>
      <c r="AE12" s="58"/>
      <c r="AF12" s="162"/>
      <c r="AG12" s="43"/>
      <c r="AH12" s="49"/>
      <c r="AI12" s="32"/>
      <c r="AJ12" s="32"/>
      <c r="AK12" s="32"/>
      <c r="AL12" s="267" t="s">
        <v>638</v>
      </c>
      <c r="AM12" s="269">
        <v>110</v>
      </c>
      <c r="AN12" s="267">
        <f t="shared" si="0"/>
        <v>0</v>
      </c>
      <c r="AO12" s="177" t="s">
        <v>847</v>
      </c>
      <c r="AP12" s="384" t="s">
        <v>1017</v>
      </c>
      <c r="AT12" s="21" t="s">
        <v>236</v>
      </c>
      <c r="AU12" s="272" t="str">
        <f>HLOOKUP($AM$1,$AV$2:$BJ$19,BK12)</f>
        <v>BBCH 75</v>
      </c>
      <c r="AV12" s="303" t="s">
        <v>1133</v>
      </c>
      <c r="AW12" s="303" t="s">
        <v>1133</v>
      </c>
      <c r="AX12" s="303" t="s">
        <v>1143</v>
      </c>
      <c r="AY12" s="303" t="s">
        <v>1143</v>
      </c>
      <c r="AZ12" s="303"/>
      <c r="BA12" s="304" t="s">
        <v>1138</v>
      </c>
      <c r="BB12" s="303"/>
      <c r="BC12" s="303"/>
      <c r="BD12" s="303"/>
      <c r="BE12" s="303"/>
      <c r="BF12" s="303"/>
      <c r="BG12" s="303"/>
      <c r="BH12" s="303"/>
      <c r="BI12" s="303"/>
      <c r="BJ12" s="303"/>
      <c r="BK12" s="271">
        <v>11</v>
      </c>
      <c r="BM12" s="302" t="s">
        <v>791</v>
      </c>
      <c r="BN12" s="274" t="s">
        <v>151</v>
      </c>
      <c r="BO12" s="274" t="s">
        <v>833</v>
      </c>
      <c r="BP12" s="274" t="s">
        <v>151</v>
      </c>
    </row>
    <row r="13" spans="1:68" x14ac:dyDescent="0.25">
      <c r="A13" s="42" t="s">
        <v>176</v>
      </c>
      <c r="B13" s="43"/>
      <c r="C13" s="43"/>
      <c r="D13" s="43"/>
      <c r="E13" s="162"/>
      <c r="F13" s="162"/>
      <c r="G13" s="162"/>
      <c r="H13" s="465" t="str">
        <f>CONCATENATE(L10,"-nr")</f>
        <v>SJV-nr</v>
      </c>
      <c r="I13" s="162"/>
      <c r="J13" s="162"/>
      <c r="K13" s="162"/>
      <c r="L13" s="162"/>
      <c r="M13" s="162"/>
      <c r="N13" s="162"/>
      <c r="O13" s="162"/>
      <c r="P13" s="197"/>
      <c r="Q13" s="325" t="s">
        <v>152</v>
      </c>
      <c r="R13" s="162"/>
      <c r="S13" s="162"/>
      <c r="T13" s="162"/>
      <c r="U13" s="325" t="s">
        <v>876</v>
      </c>
      <c r="V13" s="325"/>
      <c r="W13" s="325"/>
      <c r="X13" s="325"/>
      <c r="Y13" s="325"/>
      <c r="Z13" s="325"/>
      <c r="AB13" s="279" t="s">
        <v>879</v>
      </c>
      <c r="AC13" s="86"/>
      <c r="AD13" s="86"/>
      <c r="AE13" s="86"/>
      <c r="AF13" s="162"/>
      <c r="AG13" s="279" t="s">
        <v>167</v>
      </c>
      <c r="AH13" s="49"/>
      <c r="AI13" s="32"/>
      <c r="AJ13" s="32"/>
      <c r="AK13" s="32"/>
      <c r="AL13" s="267" t="s">
        <v>637</v>
      </c>
      <c r="AM13" s="269">
        <v>120</v>
      </c>
      <c r="AN13" s="267">
        <f t="shared" si="0"/>
        <v>0</v>
      </c>
      <c r="AO13" s="177" t="s">
        <v>848</v>
      </c>
      <c r="AP13" s="384" t="s">
        <v>1018</v>
      </c>
      <c r="AT13" s="21" t="s">
        <v>641</v>
      </c>
      <c r="AU13" s="272" t="str">
        <f t="shared" si="1"/>
        <v>BBCH  83</v>
      </c>
      <c r="AV13" s="303" t="s">
        <v>1132</v>
      </c>
      <c r="AW13" s="303" t="s">
        <v>1132</v>
      </c>
      <c r="AX13" s="303" t="s">
        <v>1144</v>
      </c>
      <c r="AY13" s="303" t="s">
        <v>1144</v>
      </c>
      <c r="AZ13" s="303"/>
      <c r="BA13" s="303"/>
      <c r="BB13" s="303"/>
      <c r="BC13" s="303"/>
      <c r="BD13" s="303"/>
      <c r="BE13" s="303"/>
      <c r="BF13" s="303"/>
      <c r="BG13" s="303"/>
      <c r="BH13" s="303"/>
      <c r="BI13" s="303"/>
      <c r="BJ13" s="303"/>
      <c r="BK13" s="271">
        <v>12</v>
      </c>
      <c r="BM13" s="302" t="s">
        <v>767</v>
      </c>
      <c r="BN13" s="274" t="s">
        <v>868</v>
      </c>
      <c r="BO13" s="275" t="s">
        <v>869</v>
      </c>
      <c r="BP13" s="274" t="s">
        <v>151</v>
      </c>
    </row>
    <row r="14" spans="1:68" x14ac:dyDescent="0.25">
      <c r="A14" s="42"/>
      <c r="B14" s="43"/>
      <c r="C14" s="43"/>
      <c r="D14" s="43"/>
      <c r="E14" s="162"/>
      <c r="F14" s="162"/>
      <c r="G14" s="378" t="str">
        <f>Q14</f>
        <v>HUG065</v>
      </c>
      <c r="H14" s="162" t="s">
        <v>1419</v>
      </c>
      <c r="I14" s="162"/>
      <c r="J14" s="162"/>
      <c r="K14" s="162"/>
      <c r="L14" s="162"/>
      <c r="M14" s="162"/>
      <c r="N14" s="162"/>
      <c r="O14" s="197"/>
      <c r="P14" s="197"/>
      <c r="Q14" s="197" t="s">
        <v>1385</v>
      </c>
      <c r="R14" s="162"/>
      <c r="S14" s="162"/>
      <c r="T14" s="162"/>
      <c r="U14" s="848" t="s">
        <v>615</v>
      </c>
      <c r="V14" s="848"/>
      <c r="W14" s="848"/>
      <c r="X14" s="848"/>
      <c r="Y14" s="848"/>
      <c r="Z14" s="848"/>
      <c r="AA14" s="848"/>
      <c r="AB14" s="197" t="s">
        <v>250</v>
      </c>
      <c r="AC14" s="197"/>
      <c r="AD14" s="197"/>
      <c r="AE14" s="43"/>
      <c r="AF14" s="162"/>
      <c r="AG14" s="854">
        <v>1</v>
      </c>
      <c r="AH14" s="855"/>
      <c r="AI14" s="32"/>
      <c r="AJ14" s="32"/>
      <c r="AK14" s="32"/>
      <c r="AL14" s="267" t="s">
        <v>639</v>
      </c>
      <c r="AM14" s="269">
        <v>130</v>
      </c>
      <c r="AN14" s="267">
        <f t="shared" si="0"/>
        <v>0</v>
      </c>
      <c r="AO14" s="177" t="s">
        <v>849</v>
      </c>
      <c r="AP14" s="384" t="s">
        <v>1008</v>
      </c>
      <c r="AT14" s="21" t="s">
        <v>642</v>
      </c>
      <c r="AU14" s="272" t="str">
        <f t="shared" si="1"/>
        <v>BBCH 75-85</v>
      </c>
      <c r="AV14" s="303" t="s">
        <v>1134</v>
      </c>
      <c r="AW14" s="303" t="s">
        <v>1134</v>
      </c>
      <c r="AX14" s="303" t="s">
        <v>1146</v>
      </c>
      <c r="AY14" s="303" t="s">
        <v>1146</v>
      </c>
      <c r="AZ14" s="303"/>
      <c r="BA14" s="303"/>
      <c r="BB14" s="303"/>
      <c r="BC14" s="303"/>
      <c r="BD14" s="303"/>
      <c r="BE14" s="303"/>
      <c r="BF14" s="303"/>
      <c r="BG14" s="303"/>
      <c r="BH14" s="303"/>
      <c r="BI14" s="303"/>
      <c r="BJ14" s="303"/>
      <c r="BK14" s="271">
        <v>13</v>
      </c>
      <c r="BM14" s="302" t="s">
        <v>768</v>
      </c>
      <c r="BN14" s="274" t="s">
        <v>870</v>
      </c>
      <c r="BO14" s="275" t="s">
        <v>871</v>
      </c>
      <c r="BP14" s="275" t="s">
        <v>872</v>
      </c>
    </row>
    <row r="15" spans="1:68" ht="15.75" customHeight="1" x14ac:dyDescent="0.25">
      <c r="A15" s="42"/>
      <c r="B15" s="43"/>
      <c r="C15" s="43"/>
      <c r="D15" s="43"/>
      <c r="E15" s="162"/>
      <c r="F15" s="162"/>
      <c r="G15" s="378" t="str">
        <f t="shared" ref="G15:G16" si="2">Q15</f>
        <v>HUG066</v>
      </c>
      <c r="H15" s="162" t="s">
        <v>1420</v>
      </c>
      <c r="I15" s="162"/>
      <c r="J15" s="162"/>
      <c r="K15" s="162"/>
      <c r="L15" s="162"/>
      <c r="M15" s="162"/>
      <c r="N15" s="162"/>
      <c r="O15" s="197"/>
      <c r="P15" s="197"/>
      <c r="Q15" s="197" t="s">
        <v>1386</v>
      </c>
      <c r="R15" s="162"/>
      <c r="S15" s="162"/>
      <c r="T15" s="162"/>
      <c r="U15" s="848" t="s">
        <v>617</v>
      </c>
      <c r="V15" s="848"/>
      <c r="W15" s="848"/>
      <c r="X15" s="848"/>
      <c r="Y15" s="848"/>
      <c r="Z15" s="848"/>
      <c r="AA15" s="848"/>
      <c r="AB15" s="197" t="s">
        <v>250</v>
      </c>
      <c r="AC15" s="197"/>
      <c r="AD15" s="197"/>
      <c r="AE15" s="43"/>
      <c r="AF15" s="162"/>
      <c r="AG15" s="854">
        <v>1</v>
      </c>
      <c r="AH15" s="855"/>
      <c r="AI15" s="43"/>
      <c r="AJ15" s="43"/>
      <c r="AK15" s="43"/>
      <c r="AL15" s="268" t="s">
        <v>640</v>
      </c>
      <c r="AM15" s="270">
        <v>140</v>
      </c>
      <c r="AN15" s="267">
        <f t="shared" si="0"/>
        <v>0</v>
      </c>
      <c r="AO15" s="177" t="s">
        <v>850</v>
      </c>
      <c r="AP15" s="384" t="s">
        <v>857</v>
      </c>
      <c r="AT15" s="21" t="s">
        <v>756</v>
      </c>
      <c r="AU15" s="272">
        <f t="shared" si="1"/>
        <v>0</v>
      </c>
      <c r="AV15" s="192"/>
      <c r="AW15" s="192"/>
      <c r="AX15" s="193"/>
      <c r="AY15" s="193"/>
      <c r="AZ15" s="192"/>
      <c r="BA15" s="193"/>
      <c r="BB15" s="193"/>
      <c r="BC15" s="193"/>
      <c r="BD15" s="193"/>
      <c r="BE15" s="192"/>
      <c r="BF15" s="193"/>
      <c r="BG15" s="193"/>
      <c r="BH15" s="193"/>
      <c r="BI15" s="193"/>
      <c r="BJ15" s="192"/>
      <c r="BK15" s="271">
        <v>14</v>
      </c>
      <c r="BM15" s="302" t="s">
        <v>936</v>
      </c>
      <c r="BN15" s="274" t="s">
        <v>839</v>
      </c>
      <c r="BO15" s="274" t="s">
        <v>838</v>
      </c>
      <c r="BP15" s="274" t="s">
        <v>151</v>
      </c>
    </row>
    <row r="16" spans="1:68" x14ac:dyDescent="0.25">
      <c r="A16" s="47"/>
      <c r="B16" s="48"/>
      <c r="C16" s="48"/>
      <c r="D16" s="48"/>
      <c r="E16" s="48"/>
      <c r="F16" s="265"/>
      <c r="G16" s="378" t="str">
        <f t="shared" si="2"/>
        <v xml:space="preserve"> </v>
      </c>
      <c r="H16" s="162"/>
      <c r="I16" s="265"/>
      <c r="J16" s="265"/>
      <c r="K16" s="265"/>
      <c r="L16" s="265"/>
      <c r="M16" s="265"/>
      <c r="N16" s="265"/>
      <c r="O16" s="265"/>
      <c r="P16" s="265"/>
      <c r="Q16" s="197" t="s">
        <v>151</v>
      </c>
      <c r="R16" s="197"/>
      <c r="S16" s="197"/>
      <c r="T16" s="197"/>
      <c r="U16" s="862"/>
      <c r="V16" s="862"/>
      <c r="W16" s="862"/>
      <c r="X16" s="862"/>
      <c r="Y16" s="862"/>
      <c r="Z16" s="862"/>
      <c r="AA16" s="862"/>
      <c r="AB16" s="197"/>
      <c r="AC16" s="197"/>
      <c r="AD16" s="197"/>
      <c r="AE16" s="43"/>
      <c r="AF16" s="162"/>
      <c r="AG16" s="856"/>
      <c r="AH16" s="857"/>
      <c r="AI16" s="43"/>
      <c r="AJ16" s="43"/>
      <c r="AK16" s="43"/>
      <c r="AL16" s="379"/>
      <c r="AM16" s="270">
        <v>150</v>
      </c>
      <c r="AN16" s="267">
        <f t="shared" si="0"/>
        <v>0</v>
      </c>
      <c r="AO16" s="177" t="s">
        <v>851</v>
      </c>
      <c r="AP16" s="384" t="s">
        <v>1019</v>
      </c>
      <c r="AT16" s="21" t="s">
        <v>757</v>
      </c>
      <c r="AU16" s="272">
        <f t="shared" si="1"/>
        <v>0</v>
      </c>
      <c r="AV16" s="192"/>
      <c r="AW16" s="192"/>
      <c r="AX16" s="192"/>
      <c r="AY16" s="192"/>
      <c r="AZ16" s="192"/>
      <c r="BA16" s="193"/>
      <c r="BB16" s="192"/>
      <c r="BC16" s="192"/>
      <c r="BD16" s="192"/>
      <c r="BE16" s="192"/>
      <c r="BF16" s="192"/>
      <c r="BG16" s="193"/>
      <c r="BH16" s="192"/>
      <c r="BI16" s="192"/>
      <c r="BJ16" s="192"/>
      <c r="BK16" s="271">
        <v>15</v>
      </c>
      <c r="BM16" s="302" t="s">
        <v>761</v>
      </c>
      <c r="BN16" s="274" t="s">
        <v>151</v>
      </c>
      <c r="BO16" s="274" t="s">
        <v>833</v>
      </c>
      <c r="BP16" s="274" t="s">
        <v>151</v>
      </c>
    </row>
    <row r="17" spans="1:71" ht="22.5" customHeight="1" x14ac:dyDescent="0.25">
      <c r="A17" s="422" t="s">
        <v>180</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6" t="s">
        <v>748</v>
      </c>
      <c r="AG17" s="858">
        <v>1</v>
      </c>
      <c r="AH17" s="858"/>
      <c r="AI17" s="43"/>
      <c r="AJ17" s="43"/>
      <c r="AK17" s="43"/>
      <c r="AM17" s="23" t="s">
        <v>177</v>
      </c>
      <c r="AO17" s="177" t="s">
        <v>852</v>
      </c>
      <c r="AP17" s="384" t="s">
        <v>1020</v>
      </c>
      <c r="AT17" s="21" t="s">
        <v>758</v>
      </c>
      <c r="AU17" s="272">
        <f t="shared" si="1"/>
        <v>0</v>
      </c>
      <c r="AV17" s="192"/>
      <c r="AW17" s="192"/>
      <c r="AX17" s="192"/>
      <c r="AY17" s="192"/>
      <c r="AZ17" s="192"/>
      <c r="BA17" s="192"/>
      <c r="BB17" s="192"/>
      <c r="BC17" s="192"/>
      <c r="BD17" s="192"/>
      <c r="BE17" s="192"/>
      <c r="BF17" s="192"/>
      <c r="BG17" s="192"/>
      <c r="BH17" s="192"/>
      <c r="BI17" s="192"/>
      <c r="BJ17" s="192"/>
      <c r="BK17" s="271">
        <v>16</v>
      </c>
      <c r="BM17" s="302" t="s">
        <v>867</v>
      </c>
      <c r="BN17" s="274" t="s">
        <v>151</v>
      </c>
      <c r="BO17" s="274" t="s">
        <v>835</v>
      </c>
      <c r="BP17" s="274" t="s">
        <v>151</v>
      </c>
    </row>
    <row r="18" spans="1:71" x14ac:dyDescent="0.25">
      <c r="A18" s="234" t="s">
        <v>157</v>
      </c>
      <c r="B18" s="235" t="s">
        <v>749</v>
      </c>
      <c r="C18" s="236"/>
      <c r="D18" s="236"/>
      <c r="E18" s="236"/>
      <c r="F18" s="236"/>
      <c r="G18" s="236"/>
      <c r="H18" s="236"/>
      <c r="I18" s="236"/>
      <c r="J18" s="236"/>
      <c r="K18" s="236"/>
      <c r="L18" s="236"/>
      <c r="M18" s="235"/>
      <c r="N18" s="236"/>
      <c r="O18" s="236"/>
      <c r="P18" s="237"/>
      <c r="Q18" s="236"/>
      <c r="R18" s="236"/>
      <c r="S18" s="236"/>
      <c r="T18" s="236"/>
      <c r="U18" s="236"/>
      <c r="V18" s="236"/>
      <c r="W18" s="236"/>
      <c r="X18" s="236"/>
      <c r="Y18" s="236"/>
      <c r="Z18" s="236"/>
      <c r="AA18" s="236"/>
      <c r="AB18" s="236"/>
      <c r="AC18" s="236"/>
      <c r="AD18" s="236"/>
      <c r="AE18" s="236"/>
      <c r="AF18" s="236"/>
      <c r="AG18" s="236"/>
      <c r="AH18" s="238"/>
      <c r="AI18" s="43"/>
      <c r="AJ18" s="43"/>
      <c r="AK18" s="43"/>
      <c r="AL18" s="483" t="s">
        <v>1214</v>
      </c>
      <c r="AM18" s="20" t="s">
        <v>769</v>
      </c>
      <c r="AO18" s="177" t="s">
        <v>853</v>
      </c>
      <c r="AP18" s="384" t="s">
        <v>1021</v>
      </c>
      <c r="AT18" s="20" t="s">
        <v>861</v>
      </c>
      <c r="AU18" s="272" t="str">
        <f t="shared" si="1"/>
        <v>PP 1/26(4)</v>
      </c>
      <c r="AV18" s="181" t="s">
        <v>1431</v>
      </c>
      <c r="AW18" s="181" t="s">
        <v>1431</v>
      </c>
      <c r="AX18" s="181" t="s">
        <v>1147</v>
      </c>
      <c r="AY18" s="181" t="s">
        <v>1147</v>
      </c>
      <c r="AZ18" s="181"/>
      <c r="BA18" s="181" t="s">
        <v>1139</v>
      </c>
      <c r="BB18" s="181"/>
      <c r="BC18" s="181"/>
      <c r="BD18" s="181" t="s">
        <v>1149</v>
      </c>
      <c r="BE18" s="181"/>
      <c r="BF18" s="181"/>
      <c r="BG18" s="181"/>
      <c r="BH18" s="181"/>
      <c r="BI18" s="181"/>
      <c r="BJ18" s="181"/>
      <c r="BK18" s="271">
        <v>17</v>
      </c>
      <c r="BM18" s="302" t="s">
        <v>766</v>
      </c>
      <c r="BN18" s="274" t="s">
        <v>151</v>
      </c>
      <c r="BO18" s="274"/>
      <c r="BP18" s="274" t="s">
        <v>151</v>
      </c>
    </row>
    <row r="19" spans="1:71" s="19" customFormat="1" x14ac:dyDescent="0.25">
      <c r="A19" s="239"/>
      <c r="C19" s="448" t="s">
        <v>1113</v>
      </c>
      <c r="D19" s="171" t="s">
        <v>1432</v>
      </c>
      <c r="E19" s="171"/>
      <c r="F19" s="171"/>
      <c r="G19" s="171"/>
      <c r="H19" s="171"/>
      <c r="I19" s="171"/>
      <c r="J19" s="171"/>
      <c r="K19" s="184"/>
      <c r="L19" s="184"/>
      <c r="M19" s="184"/>
      <c r="N19" s="184"/>
      <c r="O19" s="447" t="str">
        <f>IF(AF9&gt;1,"T2=","")</f>
        <v/>
      </c>
      <c r="P19" s="169"/>
      <c r="Q19" s="171"/>
      <c r="R19" s="171"/>
      <c r="S19" s="171"/>
      <c r="T19" s="171"/>
      <c r="U19" s="171"/>
      <c r="V19" s="171"/>
      <c r="W19" s="171"/>
      <c r="X19" s="171"/>
      <c r="Y19" s="447" t="str">
        <f>IF($AF9&gt;2,"T3=","")</f>
        <v/>
      </c>
      <c r="Z19" s="169"/>
      <c r="AA19" s="184"/>
      <c r="AB19" s="184"/>
      <c r="AC19" s="171"/>
      <c r="AD19" s="171"/>
      <c r="AE19" s="184"/>
      <c r="AF19" s="184"/>
      <c r="AG19" s="171"/>
      <c r="AH19" s="185"/>
      <c r="AI19" s="171"/>
      <c r="AJ19" s="171"/>
      <c r="AK19" s="171"/>
      <c r="AL19" s="266">
        <f>YEAR(AC5)</f>
        <v>2014</v>
      </c>
      <c r="AO19" s="177" t="s">
        <v>854</v>
      </c>
      <c r="AP19" s="384" t="s">
        <v>1022</v>
      </c>
      <c r="AT19" s="19" t="s">
        <v>862</v>
      </c>
      <c r="AU19" s="272" t="str">
        <f t="shared" si="1"/>
        <v>Foliar diseases on cereals</v>
      </c>
      <c r="AV19" s="181" t="s">
        <v>1135</v>
      </c>
      <c r="AW19" s="181" t="s">
        <v>1135</v>
      </c>
      <c r="AX19" s="181" t="s">
        <v>1148</v>
      </c>
      <c r="AY19" s="181" t="s">
        <v>1148</v>
      </c>
      <c r="AZ19" s="181"/>
      <c r="BA19" s="181" t="s">
        <v>1140</v>
      </c>
      <c r="BB19" s="181"/>
      <c r="BC19" s="181"/>
      <c r="BD19" s="181" t="s">
        <v>1150</v>
      </c>
      <c r="BE19" s="181"/>
      <c r="BF19" s="181"/>
      <c r="BG19" s="181"/>
      <c r="BH19" s="181"/>
      <c r="BI19" s="181"/>
      <c r="BJ19" s="181"/>
      <c r="BK19" s="271">
        <v>18</v>
      </c>
      <c r="BM19" s="302" t="s">
        <v>763</v>
      </c>
      <c r="BN19" s="274" t="s">
        <v>151</v>
      </c>
      <c r="BO19" s="274"/>
      <c r="BP19" s="274" t="s">
        <v>151</v>
      </c>
      <c r="BS19" s="20"/>
    </row>
    <row r="20" spans="1:71" s="19" customFormat="1" hidden="1" x14ac:dyDescent="0.25">
      <c r="A20" s="239"/>
      <c r="B20" s="167"/>
      <c r="C20" s="167"/>
      <c r="D20" s="171"/>
      <c r="E20" s="171"/>
      <c r="F20" s="171"/>
      <c r="G20" s="171"/>
      <c r="H20" s="171"/>
      <c r="I20" s="171"/>
      <c r="J20" s="171"/>
      <c r="K20" s="184"/>
      <c r="L20" s="184"/>
      <c r="M20" s="184"/>
      <c r="N20" s="184"/>
      <c r="P20" s="167"/>
      <c r="Q20" s="167"/>
      <c r="R20" s="167"/>
      <c r="S20" s="167"/>
      <c r="T20" s="167"/>
      <c r="U20" s="167"/>
      <c r="V20" s="167"/>
      <c r="W20" s="167"/>
      <c r="X20" s="167"/>
      <c r="Y20" s="184"/>
      <c r="Z20" s="167"/>
      <c r="AA20" s="184"/>
      <c r="AB20" s="171"/>
      <c r="AC20" s="171"/>
      <c r="AD20" s="171"/>
      <c r="AE20" s="184"/>
      <c r="AF20" s="171"/>
      <c r="AG20" s="171"/>
      <c r="AH20" s="185"/>
      <c r="AI20" s="171"/>
      <c r="AJ20" s="171"/>
      <c r="AK20" s="171"/>
      <c r="AL20" s="324">
        <v>200</v>
      </c>
      <c r="AM20" s="20">
        <v>200</v>
      </c>
      <c r="AO20" s="177" t="s">
        <v>223</v>
      </c>
      <c r="AP20" s="384" t="s">
        <v>1008</v>
      </c>
      <c r="AU20" s="20" t="s">
        <v>275</v>
      </c>
      <c r="BM20" s="379"/>
      <c r="BN20" s="274" t="s">
        <v>151</v>
      </c>
      <c r="BP20" s="274" t="s">
        <v>151</v>
      </c>
      <c r="BQ20" s="20"/>
      <c r="BS20" s="20"/>
    </row>
    <row r="21" spans="1:71" s="19" customFormat="1" ht="13.5" customHeight="1" x14ac:dyDescent="0.25">
      <c r="A21" s="540">
        <v>1</v>
      </c>
      <c r="B21" s="169" t="s">
        <v>953</v>
      </c>
      <c r="C21" s="168"/>
      <c r="D21" s="171"/>
      <c r="E21" s="171"/>
      <c r="F21" s="170"/>
      <c r="G21" s="170"/>
      <c r="H21" s="170"/>
      <c r="I21" s="170"/>
      <c r="J21" s="171"/>
      <c r="K21" s="529" t="s">
        <v>1211</v>
      </c>
      <c r="L21" s="184"/>
      <c r="M21" s="184"/>
      <c r="N21" s="184"/>
      <c r="O21" s="169"/>
      <c r="P21" s="168"/>
      <c r="Q21" s="168"/>
      <c r="R21" s="169"/>
      <c r="S21" s="168"/>
      <c r="T21" s="168"/>
      <c r="U21" s="168"/>
      <c r="V21" s="168"/>
      <c r="W21" s="168"/>
      <c r="X21" s="168"/>
      <c r="Y21" s="169"/>
      <c r="Z21" s="168"/>
      <c r="AA21" s="184"/>
      <c r="AB21" s="169"/>
      <c r="AC21" s="171"/>
      <c r="AD21" s="171"/>
      <c r="AE21" s="184"/>
      <c r="AF21" s="171"/>
      <c r="AG21" s="171"/>
      <c r="AH21" s="185"/>
      <c r="AI21" s="171"/>
      <c r="AJ21" s="171"/>
      <c r="AK21" s="171"/>
      <c r="AL21" s="324">
        <v>250</v>
      </c>
      <c r="AM21" s="20">
        <v>250</v>
      </c>
      <c r="AO21" s="177" t="s">
        <v>855</v>
      </c>
      <c r="AP21" s="384" t="s">
        <v>855</v>
      </c>
      <c r="AU21" s="20" t="s">
        <v>237</v>
      </c>
      <c r="BM21" s="379"/>
      <c r="BN21" s="274" t="s">
        <v>151</v>
      </c>
      <c r="BP21" s="274" t="s">
        <v>151</v>
      </c>
      <c r="BQ21" s="20"/>
      <c r="BR21" s="20"/>
      <c r="BS21" s="20"/>
    </row>
    <row r="22" spans="1:71" s="19" customFormat="1" ht="13.5" customHeight="1" x14ac:dyDescent="0.25">
      <c r="A22" s="540">
        <v>2</v>
      </c>
      <c r="B22" s="169" t="s">
        <v>1422</v>
      </c>
      <c r="C22" s="169"/>
      <c r="D22" s="171"/>
      <c r="E22" s="171"/>
      <c r="F22" s="170"/>
      <c r="G22" s="170"/>
      <c r="H22" s="170"/>
      <c r="I22" s="170"/>
      <c r="J22" s="171"/>
      <c r="K22" s="528" t="s">
        <v>1438</v>
      </c>
      <c r="L22" s="184"/>
      <c r="M22" s="184"/>
      <c r="N22" s="184"/>
      <c r="O22" s="169"/>
      <c r="P22" s="169"/>
      <c r="Q22" s="169"/>
      <c r="R22" s="169"/>
      <c r="S22" s="169"/>
      <c r="T22" s="169"/>
      <c r="U22" s="169"/>
      <c r="V22" s="169"/>
      <c r="W22" s="169"/>
      <c r="X22" s="169"/>
      <c r="Y22" s="169"/>
      <c r="Z22" s="169"/>
      <c r="AA22" s="184"/>
      <c r="AB22" s="169"/>
      <c r="AC22" s="171"/>
      <c r="AD22" s="171"/>
      <c r="AE22" s="184"/>
      <c r="AF22" s="171"/>
      <c r="AG22" s="171"/>
      <c r="AH22" s="185"/>
      <c r="AI22" s="171"/>
      <c r="AJ22" s="171"/>
      <c r="AK22" s="171"/>
      <c r="AL22" s="324"/>
      <c r="AM22" s="20">
        <v>300</v>
      </c>
      <c r="AO22" s="177" t="s">
        <v>227</v>
      </c>
      <c r="AP22" s="384" t="s">
        <v>1023</v>
      </c>
      <c r="AU22" s="20" t="s">
        <v>1121</v>
      </c>
      <c r="BL22" s="23"/>
      <c r="BM22" s="379"/>
      <c r="BN22" s="274" t="s">
        <v>151</v>
      </c>
      <c r="BP22" s="274" t="s">
        <v>151</v>
      </c>
      <c r="BQ22" s="20"/>
      <c r="BR22" s="20"/>
      <c r="BS22" s="20"/>
    </row>
    <row r="23" spans="1:71" s="19" customFormat="1" ht="13.5" customHeight="1" x14ac:dyDescent="0.25">
      <c r="A23" s="540">
        <v>3</v>
      </c>
      <c r="B23" s="169" t="s">
        <v>1423</v>
      </c>
      <c r="C23" s="169"/>
      <c r="D23" s="171"/>
      <c r="E23" s="171"/>
      <c r="F23" s="170"/>
      <c r="G23" s="170"/>
      <c r="H23" s="170"/>
      <c r="I23" s="170"/>
      <c r="J23" s="171"/>
      <c r="K23" s="528" t="s">
        <v>1433</v>
      </c>
      <c r="L23" s="184"/>
      <c r="M23" s="184"/>
      <c r="N23" s="184"/>
      <c r="O23" s="169"/>
      <c r="P23" s="169"/>
      <c r="Q23" s="169"/>
      <c r="R23" s="169"/>
      <c r="S23" s="169"/>
      <c r="T23" s="169"/>
      <c r="U23" s="169"/>
      <c r="V23" s="169"/>
      <c r="W23" s="169"/>
      <c r="X23" s="169"/>
      <c r="Y23" s="169"/>
      <c r="Z23" s="169"/>
      <c r="AA23" s="184"/>
      <c r="AB23" s="169"/>
      <c r="AC23" s="171"/>
      <c r="AD23" s="171"/>
      <c r="AE23" s="184"/>
      <c r="AF23" s="171"/>
      <c r="AG23" s="171"/>
      <c r="AH23" s="185"/>
      <c r="AI23" s="171"/>
      <c r="AJ23" s="171"/>
      <c r="AK23" s="171"/>
      <c r="AL23" s="324">
        <v>350</v>
      </c>
      <c r="AM23" s="20">
        <v>350</v>
      </c>
      <c r="AO23" s="177" t="s">
        <v>226</v>
      </c>
      <c r="AP23" s="384" t="s">
        <v>1024</v>
      </c>
      <c r="BL23" s="23"/>
      <c r="BM23" s="379"/>
      <c r="BN23" s="274" t="s">
        <v>151</v>
      </c>
      <c r="BP23" s="274" t="s">
        <v>151</v>
      </c>
      <c r="BQ23" s="20"/>
      <c r="BS23" s="20"/>
    </row>
    <row r="24" spans="1:71" s="19" customFormat="1" ht="13.5" customHeight="1" x14ac:dyDescent="0.25">
      <c r="A24" s="540">
        <v>4</v>
      </c>
      <c r="B24" s="169" t="s">
        <v>1424</v>
      </c>
      <c r="C24" s="169"/>
      <c r="D24" s="171"/>
      <c r="E24" s="171"/>
      <c r="F24" s="170"/>
      <c r="G24" s="170"/>
      <c r="H24" s="170"/>
      <c r="I24" s="170"/>
      <c r="J24" s="171"/>
      <c r="K24" s="528" t="s">
        <v>1437</v>
      </c>
      <c r="L24" s="184"/>
      <c r="M24" s="184"/>
      <c r="N24" s="184"/>
      <c r="O24" s="169"/>
      <c r="P24" s="169"/>
      <c r="Q24" s="169"/>
      <c r="R24" s="169"/>
      <c r="S24" s="169"/>
      <c r="T24" s="169"/>
      <c r="U24" s="169"/>
      <c r="V24" s="169"/>
      <c r="W24" s="169"/>
      <c r="X24" s="169"/>
      <c r="Y24" s="169"/>
      <c r="Z24" s="169"/>
      <c r="AA24" s="184"/>
      <c r="AB24" s="169"/>
      <c r="AC24" s="171"/>
      <c r="AD24" s="171"/>
      <c r="AE24" s="184"/>
      <c r="AF24" s="171"/>
      <c r="AG24" s="171"/>
      <c r="AH24" s="185"/>
      <c r="AI24" s="171"/>
      <c r="AJ24" s="171"/>
      <c r="AK24" s="171"/>
      <c r="AL24" s="324">
        <v>400</v>
      </c>
      <c r="AM24" s="20">
        <v>400</v>
      </c>
      <c r="AO24" s="177" t="s">
        <v>856</v>
      </c>
      <c r="AP24" s="384" t="s">
        <v>1008</v>
      </c>
      <c r="BL24" s="23"/>
      <c r="BM24" s="20"/>
      <c r="BN24" s="22"/>
      <c r="BP24" s="20"/>
      <c r="BQ24" s="20"/>
    </row>
    <row r="25" spans="1:71" s="19" customFormat="1" ht="13.5" customHeight="1" x14ac:dyDescent="0.25">
      <c r="A25" s="540">
        <v>5</v>
      </c>
      <c r="B25" s="169" t="s">
        <v>1425</v>
      </c>
      <c r="C25" s="169"/>
      <c r="D25" s="171"/>
      <c r="E25" s="171"/>
      <c r="F25" s="170"/>
      <c r="G25" s="170"/>
      <c r="H25" s="170"/>
      <c r="I25" s="170"/>
      <c r="J25" s="171"/>
      <c r="K25" s="528" t="s">
        <v>1435</v>
      </c>
      <c r="L25" s="184"/>
      <c r="M25" s="184"/>
      <c r="N25" s="184"/>
      <c r="O25" s="169"/>
      <c r="P25" s="169"/>
      <c r="Q25" s="169"/>
      <c r="R25" s="169"/>
      <c r="S25" s="169"/>
      <c r="T25" s="169"/>
      <c r="U25" s="169"/>
      <c r="V25" s="169"/>
      <c r="W25" s="169"/>
      <c r="X25" s="169"/>
      <c r="Y25" s="169"/>
      <c r="Z25" s="169"/>
      <c r="AA25" s="184"/>
      <c r="AB25" s="169"/>
      <c r="AC25" s="171"/>
      <c r="AD25" s="171"/>
      <c r="AE25" s="184"/>
      <c r="AF25" s="171"/>
      <c r="AG25" s="171"/>
      <c r="AH25" s="185"/>
      <c r="AI25" s="171"/>
      <c r="AJ25" s="171"/>
      <c r="AK25" s="171"/>
      <c r="AL25" s="324">
        <v>450</v>
      </c>
      <c r="AM25" s="20">
        <v>450</v>
      </c>
      <c r="AO25" s="177" t="s">
        <v>857</v>
      </c>
      <c r="AP25" s="384" t="s">
        <v>857</v>
      </c>
      <c r="AV25" s="19">
        <v>1</v>
      </c>
      <c r="AW25" s="19" t="s">
        <v>1421</v>
      </c>
      <c r="AZ25" s="19" t="s">
        <v>1211</v>
      </c>
      <c r="BK25" s="26"/>
      <c r="BL25" s="23"/>
      <c r="BM25" s="22"/>
      <c r="BN25" s="22"/>
      <c r="BP25" s="20"/>
      <c r="BQ25" s="20"/>
    </row>
    <row r="26" spans="1:71" s="19" customFormat="1" ht="13.5" customHeight="1" x14ac:dyDescent="0.25">
      <c r="A26" s="540">
        <v>6</v>
      </c>
      <c r="B26" s="169" t="s">
        <v>1426</v>
      </c>
      <c r="C26" s="169"/>
      <c r="D26" s="171"/>
      <c r="E26" s="171"/>
      <c r="F26" s="170"/>
      <c r="G26" s="170"/>
      <c r="H26" s="170"/>
      <c r="I26" s="170"/>
      <c r="J26" s="171"/>
      <c r="K26" s="528" t="s">
        <v>1436</v>
      </c>
      <c r="L26" s="184"/>
      <c r="M26" s="184"/>
      <c r="N26" s="184"/>
      <c r="O26" s="169"/>
      <c r="P26" s="169"/>
      <c r="Q26" s="169"/>
      <c r="R26" s="169"/>
      <c r="S26" s="169"/>
      <c r="T26" s="169"/>
      <c r="U26" s="169"/>
      <c r="V26" s="169"/>
      <c r="W26" s="169"/>
      <c r="X26" s="169"/>
      <c r="Y26" s="169"/>
      <c r="Z26" s="169"/>
      <c r="AA26" s="184"/>
      <c r="AB26" s="169"/>
      <c r="AC26" s="171"/>
      <c r="AD26" s="171"/>
      <c r="AE26" s="184"/>
      <c r="AF26" s="171"/>
      <c r="AG26" s="171"/>
      <c r="AH26" s="185"/>
      <c r="AI26" s="171"/>
      <c r="AJ26" s="171"/>
      <c r="AK26" s="171"/>
      <c r="AL26" s="324">
        <v>500</v>
      </c>
      <c r="AM26" s="20">
        <v>500</v>
      </c>
      <c r="AO26" s="177" t="s">
        <v>858</v>
      </c>
      <c r="AP26" s="384" t="s">
        <v>858</v>
      </c>
      <c r="AV26" s="19">
        <v>2</v>
      </c>
      <c r="AW26" s="19" t="s">
        <v>1422</v>
      </c>
      <c r="AZ26" s="19" t="s">
        <v>1428</v>
      </c>
      <c r="BI26" s="26"/>
      <c r="BJ26" s="26"/>
      <c r="BK26" s="26"/>
      <c r="BL26" s="23"/>
      <c r="BM26" s="22"/>
      <c r="BN26" s="22"/>
      <c r="BP26" s="20"/>
      <c r="BQ26" s="20"/>
      <c r="BR26" s="20"/>
      <c r="BS26" s="20"/>
    </row>
    <row r="27" spans="1:71" s="19" customFormat="1" ht="13.5" customHeight="1" x14ac:dyDescent="0.25">
      <c r="A27" s="540">
        <v>7</v>
      </c>
      <c r="B27" s="169" t="s">
        <v>1427</v>
      </c>
      <c r="C27" s="170"/>
      <c r="D27" s="171"/>
      <c r="E27" s="171"/>
      <c r="F27" s="170"/>
      <c r="G27" s="170"/>
      <c r="H27" s="170"/>
      <c r="I27" s="170"/>
      <c r="J27" s="171"/>
      <c r="K27" s="528" t="s">
        <v>1434</v>
      </c>
      <c r="L27" s="184"/>
      <c r="M27" s="184"/>
      <c r="N27" s="184"/>
      <c r="O27" s="169"/>
      <c r="P27" s="170"/>
      <c r="Q27" s="170"/>
      <c r="R27" s="169"/>
      <c r="S27" s="170"/>
      <c r="T27" s="170"/>
      <c r="U27" s="170"/>
      <c r="V27" s="170"/>
      <c r="W27" s="170"/>
      <c r="X27" s="170"/>
      <c r="Y27" s="169"/>
      <c r="Z27" s="170"/>
      <c r="AA27" s="184"/>
      <c r="AB27" s="170"/>
      <c r="AC27" s="171"/>
      <c r="AD27" s="171"/>
      <c r="AE27" s="184"/>
      <c r="AF27" s="171"/>
      <c r="AG27" s="171"/>
      <c r="AH27" s="185"/>
      <c r="AI27" s="171"/>
      <c r="AJ27" s="171"/>
      <c r="AK27" s="171"/>
      <c r="AL27" s="171"/>
      <c r="AO27" s="177" t="s">
        <v>624</v>
      </c>
      <c r="AP27" s="384" t="s">
        <v>1025</v>
      </c>
      <c r="AV27" s="19">
        <v>3</v>
      </c>
      <c r="AW27" s="19" t="s">
        <v>1423</v>
      </c>
      <c r="AZ27" s="19">
        <v>1</v>
      </c>
      <c r="BL27" s="23"/>
      <c r="BP27" s="20"/>
      <c r="BQ27" s="20"/>
    </row>
    <row r="28" spans="1:71" s="19" customFormat="1" ht="13.5" hidden="1" customHeight="1" x14ac:dyDescent="0.25">
      <c r="A28" s="240"/>
      <c r="B28" s="169"/>
      <c r="C28" s="170"/>
      <c r="D28" s="171"/>
      <c r="E28" s="171"/>
      <c r="F28" s="170"/>
      <c r="G28" s="170"/>
      <c r="H28" s="170"/>
      <c r="I28" s="170"/>
      <c r="J28" s="171"/>
      <c r="K28" s="184"/>
      <c r="L28" s="184"/>
      <c r="M28" s="184"/>
      <c r="N28" s="184"/>
      <c r="O28" s="169"/>
      <c r="P28" s="170"/>
      <c r="Q28" s="170"/>
      <c r="R28" s="169"/>
      <c r="S28" s="170"/>
      <c r="T28" s="170"/>
      <c r="U28" s="170"/>
      <c r="V28" s="170"/>
      <c r="W28" s="170"/>
      <c r="X28" s="170"/>
      <c r="Y28" s="169"/>
      <c r="Z28" s="170"/>
      <c r="AA28" s="184"/>
      <c r="AB28" s="170"/>
      <c r="AC28" s="171"/>
      <c r="AD28" s="171"/>
      <c r="AE28" s="184"/>
      <c r="AF28" s="171"/>
      <c r="AG28" s="171"/>
      <c r="AH28" s="185"/>
      <c r="AI28" s="171"/>
      <c r="AJ28" s="171"/>
      <c r="AK28" s="171"/>
      <c r="AL28" s="171"/>
      <c r="AM28" s="19" t="s">
        <v>1175</v>
      </c>
      <c r="AO28" s="177" t="s">
        <v>859</v>
      </c>
      <c r="AP28" s="384" t="s">
        <v>1026</v>
      </c>
      <c r="AV28" s="19">
        <v>4</v>
      </c>
      <c r="AW28" s="19" t="s">
        <v>1424</v>
      </c>
      <c r="AZ28" s="19" t="s">
        <v>1429</v>
      </c>
      <c r="BL28" s="23"/>
      <c r="BP28" s="20"/>
      <c r="BQ28" s="20"/>
    </row>
    <row r="29" spans="1:71" s="19" customFormat="1" ht="13.5" hidden="1" customHeight="1" x14ac:dyDescent="0.25">
      <c r="A29" s="240"/>
      <c r="B29" s="169"/>
      <c r="C29" s="170"/>
      <c r="D29" s="171"/>
      <c r="E29" s="171"/>
      <c r="F29" s="170"/>
      <c r="G29" s="170"/>
      <c r="H29" s="170"/>
      <c r="I29" s="170"/>
      <c r="J29" s="171"/>
      <c r="K29" s="184"/>
      <c r="L29" s="184"/>
      <c r="M29" s="184"/>
      <c r="N29" s="184"/>
      <c r="O29" s="169"/>
      <c r="P29" s="170"/>
      <c r="Q29" s="170"/>
      <c r="R29" s="169"/>
      <c r="S29" s="170"/>
      <c r="T29" s="170"/>
      <c r="U29" s="170"/>
      <c r="V29" s="170"/>
      <c r="W29" s="170"/>
      <c r="X29" s="170"/>
      <c r="Y29" s="169"/>
      <c r="Z29" s="170"/>
      <c r="AA29" s="184"/>
      <c r="AB29" s="170"/>
      <c r="AC29" s="171"/>
      <c r="AD29" s="171"/>
      <c r="AE29" s="184"/>
      <c r="AF29" s="171"/>
      <c r="AG29" s="171"/>
      <c r="AH29" s="185"/>
      <c r="AI29" s="171"/>
      <c r="AJ29" s="171"/>
      <c r="AK29" s="171"/>
      <c r="AL29" s="171"/>
      <c r="AM29" s="19" t="s">
        <v>751</v>
      </c>
      <c r="AO29" s="177" t="s">
        <v>224</v>
      </c>
      <c r="AP29" s="384" t="s">
        <v>1027</v>
      </c>
      <c r="AV29" s="19">
        <v>5</v>
      </c>
      <c r="AW29" s="20" t="s">
        <v>1425</v>
      </c>
      <c r="AX29" s="20"/>
      <c r="AY29" s="20"/>
      <c r="AZ29" s="20">
        <v>0.5</v>
      </c>
      <c r="BA29" s="20"/>
      <c r="BB29" s="20"/>
      <c r="BC29" s="20"/>
      <c r="BD29" s="20"/>
      <c r="BE29" s="20"/>
      <c r="BF29" s="20"/>
      <c r="BG29" s="20"/>
      <c r="BH29" s="20"/>
      <c r="BL29" s="23"/>
      <c r="BP29" s="20"/>
      <c r="BQ29" s="20"/>
    </row>
    <row r="30" spans="1:71" s="19" customFormat="1" ht="13.5" hidden="1" customHeight="1" x14ac:dyDescent="0.25">
      <c r="A30" s="240"/>
      <c r="B30" s="169"/>
      <c r="C30" s="170"/>
      <c r="D30" s="171"/>
      <c r="E30" s="171"/>
      <c r="F30" s="170"/>
      <c r="G30" s="170"/>
      <c r="H30" s="170"/>
      <c r="I30" s="170"/>
      <c r="J30" s="171"/>
      <c r="K30" s="184"/>
      <c r="L30" s="184"/>
      <c r="M30" s="184"/>
      <c r="N30" s="184"/>
      <c r="O30" s="169"/>
      <c r="P30" s="170"/>
      <c r="Q30" s="170"/>
      <c r="R30" s="169"/>
      <c r="S30" s="170"/>
      <c r="T30" s="170"/>
      <c r="U30" s="170"/>
      <c r="V30" s="170"/>
      <c r="W30" s="170"/>
      <c r="X30" s="170"/>
      <c r="Y30" s="169"/>
      <c r="Z30" s="170"/>
      <c r="AA30" s="184"/>
      <c r="AB30" s="170"/>
      <c r="AC30" s="171"/>
      <c r="AD30" s="171"/>
      <c r="AE30" s="184"/>
      <c r="AF30" s="171"/>
      <c r="AG30" s="171"/>
      <c r="AH30" s="185"/>
      <c r="AI30" s="171"/>
      <c r="AJ30" s="171"/>
      <c r="AK30" s="171"/>
      <c r="AL30" s="171"/>
      <c r="AO30" s="266" t="s">
        <v>860</v>
      </c>
      <c r="AP30" s="384" t="s">
        <v>1028</v>
      </c>
      <c r="AV30" s="19">
        <v>6</v>
      </c>
      <c r="AW30" s="25" t="s">
        <v>1426</v>
      </c>
      <c r="AX30" s="25"/>
      <c r="AY30" s="25"/>
      <c r="AZ30" s="25" t="s">
        <v>1430</v>
      </c>
      <c r="BA30" s="25"/>
      <c r="BB30" s="25"/>
      <c r="BC30" s="25"/>
      <c r="BD30" s="25"/>
      <c r="BE30" s="25"/>
      <c r="BF30" s="25"/>
      <c r="BG30" s="25"/>
      <c r="BH30" s="25"/>
      <c r="BL30" s="23"/>
    </row>
    <row r="31" spans="1:71" s="19" customFormat="1" ht="13.5" hidden="1" customHeight="1" x14ac:dyDescent="0.25">
      <c r="A31" s="240"/>
      <c r="B31" s="169"/>
      <c r="C31" s="170"/>
      <c r="D31" s="171"/>
      <c r="E31" s="171"/>
      <c r="F31" s="170"/>
      <c r="G31" s="170"/>
      <c r="H31" s="170"/>
      <c r="I31" s="170"/>
      <c r="J31" s="171"/>
      <c r="K31" s="184"/>
      <c r="L31" s="184"/>
      <c r="M31" s="184"/>
      <c r="N31" s="184"/>
      <c r="O31" s="169"/>
      <c r="P31" s="170"/>
      <c r="Q31" s="170"/>
      <c r="R31" s="169"/>
      <c r="S31" s="170"/>
      <c r="T31" s="170"/>
      <c r="U31" s="170"/>
      <c r="V31" s="170"/>
      <c r="W31" s="170"/>
      <c r="X31" s="170"/>
      <c r="Y31" s="169"/>
      <c r="Z31" s="170"/>
      <c r="AA31" s="184"/>
      <c r="AB31" s="170"/>
      <c r="AC31" s="171"/>
      <c r="AD31" s="171"/>
      <c r="AE31" s="184"/>
      <c r="AF31" s="171"/>
      <c r="AG31" s="171"/>
      <c r="AH31" s="185"/>
      <c r="AI31" s="171"/>
      <c r="AJ31" s="171"/>
      <c r="AK31" s="171"/>
      <c r="AL31" s="171"/>
      <c r="AO31" s="379" t="s">
        <v>1383</v>
      </c>
      <c r="AT31" s="11"/>
      <c r="AV31" s="19">
        <v>7</v>
      </c>
      <c r="AW31" s="25" t="s">
        <v>1427</v>
      </c>
      <c r="AX31" s="25"/>
      <c r="AY31" s="25"/>
      <c r="AZ31" s="25">
        <v>0.4</v>
      </c>
      <c r="BA31" s="25"/>
      <c r="BB31" s="25"/>
      <c r="BC31" s="25"/>
      <c r="BD31" s="25"/>
      <c r="BE31" s="25"/>
      <c r="BF31" s="25"/>
      <c r="BG31" s="25"/>
      <c r="BH31" s="25"/>
      <c r="BL31" s="23"/>
    </row>
    <row r="32" spans="1:71" s="19" customFormat="1" ht="13.5" hidden="1" customHeight="1" x14ac:dyDescent="0.25">
      <c r="A32" s="240"/>
      <c r="B32" s="169"/>
      <c r="C32" s="170"/>
      <c r="D32" s="171"/>
      <c r="E32" s="171"/>
      <c r="F32" s="170"/>
      <c r="G32" s="170"/>
      <c r="H32" s="170"/>
      <c r="I32" s="170"/>
      <c r="J32" s="171"/>
      <c r="K32" s="184"/>
      <c r="L32" s="184"/>
      <c r="M32" s="184"/>
      <c r="N32" s="184"/>
      <c r="O32" s="169"/>
      <c r="P32" s="170"/>
      <c r="Q32" s="170"/>
      <c r="R32" s="169"/>
      <c r="S32" s="170"/>
      <c r="T32" s="170"/>
      <c r="U32" s="170"/>
      <c r="V32" s="170"/>
      <c r="W32" s="170"/>
      <c r="X32" s="170"/>
      <c r="Y32" s="169"/>
      <c r="Z32" s="170"/>
      <c r="AA32" s="184"/>
      <c r="AB32" s="170"/>
      <c r="AC32" s="171"/>
      <c r="AD32" s="171"/>
      <c r="AE32" s="184"/>
      <c r="AF32" s="171"/>
      <c r="AG32" s="171"/>
      <c r="AH32" s="185"/>
      <c r="AI32" s="171"/>
      <c r="AJ32" s="171"/>
      <c r="AK32" s="171"/>
      <c r="AL32" s="171"/>
      <c r="AO32" s="379"/>
      <c r="AT32" s="11"/>
      <c r="AW32" s="25"/>
      <c r="AX32" s="25"/>
      <c r="AY32" s="25"/>
      <c r="AZ32" s="25"/>
      <c r="BA32" s="25"/>
      <c r="BB32" s="25"/>
      <c r="BC32" s="25"/>
      <c r="BD32" s="25"/>
      <c r="BE32" s="25"/>
      <c r="BF32" s="25"/>
      <c r="BG32" s="25"/>
      <c r="BH32" s="25"/>
    </row>
    <row r="33" spans="1:67" s="19" customFormat="1" ht="13.5" hidden="1" customHeight="1" x14ac:dyDescent="0.25">
      <c r="A33" s="240"/>
      <c r="B33" s="169"/>
      <c r="C33" s="170"/>
      <c r="D33" s="171"/>
      <c r="E33" s="171"/>
      <c r="F33" s="170"/>
      <c r="G33" s="170"/>
      <c r="H33" s="170"/>
      <c r="I33" s="170"/>
      <c r="J33" s="171"/>
      <c r="K33" s="184"/>
      <c r="L33" s="184"/>
      <c r="M33" s="184"/>
      <c r="N33" s="184"/>
      <c r="O33" s="169"/>
      <c r="P33" s="170"/>
      <c r="Q33" s="170"/>
      <c r="R33" s="169"/>
      <c r="S33" s="170"/>
      <c r="T33" s="170"/>
      <c r="U33" s="170"/>
      <c r="V33" s="170"/>
      <c r="W33" s="170"/>
      <c r="X33" s="170"/>
      <c r="Y33" s="169"/>
      <c r="Z33" s="170"/>
      <c r="AA33" s="184"/>
      <c r="AB33" s="170"/>
      <c r="AC33" s="171"/>
      <c r="AD33" s="171"/>
      <c r="AE33" s="184"/>
      <c r="AF33" s="171"/>
      <c r="AG33" s="171"/>
      <c r="AH33" s="185"/>
      <c r="AI33" s="171"/>
      <c r="AJ33" s="171"/>
      <c r="AK33" s="171"/>
      <c r="AL33" s="171"/>
      <c r="AT33" s="13"/>
      <c r="AW33" s="25"/>
      <c r="AX33" s="25"/>
      <c r="AY33" s="25"/>
      <c r="AZ33" s="25"/>
      <c r="BA33" s="25"/>
      <c r="BB33" s="25"/>
      <c r="BC33" s="25"/>
      <c r="BD33" s="25"/>
      <c r="BE33" s="25"/>
      <c r="BF33" s="25"/>
      <c r="BG33" s="25"/>
      <c r="BH33" s="25"/>
    </row>
    <row r="34" spans="1:67" s="19" customFormat="1" ht="13.5" hidden="1" customHeight="1" x14ac:dyDescent="0.25">
      <c r="A34" s="240"/>
      <c r="B34" s="169"/>
      <c r="C34" s="170"/>
      <c r="D34" s="171"/>
      <c r="E34" s="171"/>
      <c r="F34" s="170"/>
      <c r="G34" s="170"/>
      <c r="H34" s="170"/>
      <c r="I34" s="170"/>
      <c r="J34" s="171"/>
      <c r="K34" s="184"/>
      <c r="L34" s="184"/>
      <c r="M34" s="184"/>
      <c r="N34" s="184"/>
      <c r="O34" s="169"/>
      <c r="P34" s="170"/>
      <c r="Q34" s="170"/>
      <c r="R34" s="169"/>
      <c r="S34" s="170"/>
      <c r="T34" s="170"/>
      <c r="U34" s="170"/>
      <c r="V34" s="170"/>
      <c r="W34" s="170"/>
      <c r="X34" s="170"/>
      <c r="Y34" s="169"/>
      <c r="Z34" s="170"/>
      <c r="AA34" s="184"/>
      <c r="AB34" s="170"/>
      <c r="AC34" s="171"/>
      <c r="AD34" s="171"/>
      <c r="AE34" s="184"/>
      <c r="AF34" s="171"/>
      <c r="AG34" s="171"/>
      <c r="AH34" s="185"/>
      <c r="AI34" s="171"/>
      <c r="AJ34" s="171"/>
      <c r="AK34" s="171"/>
      <c r="AL34" s="171"/>
      <c r="AM34" s="20"/>
      <c r="AN34" s="20"/>
      <c r="AP34" s="20"/>
      <c r="AT34" s="11"/>
      <c r="AV34" s="20"/>
      <c r="AW34" s="20"/>
      <c r="AX34" s="20"/>
      <c r="AY34" s="20"/>
      <c r="AZ34" s="20"/>
      <c r="BA34" s="20"/>
      <c r="BB34" s="20"/>
      <c r="BC34" s="20"/>
      <c r="BD34" s="20"/>
      <c r="BE34" s="20"/>
      <c r="BF34" s="20"/>
      <c r="BG34" s="20"/>
      <c r="BH34" s="20"/>
      <c r="BI34" s="20"/>
      <c r="BJ34" s="20"/>
      <c r="BK34" s="20"/>
      <c r="BL34" s="20"/>
      <c r="BM34" s="20"/>
      <c r="BN34" s="20"/>
      <c r="BO34" s="20"/>
    </row>
    <row r="35" spans="1:67" s="19" customFormat="1" ht="13.5" hidden="1" customHeight="1" x14ac:dyDescent="0.25">
      <c r="A35" s="240"/>
      <c r="B35" s="169"/>
      <c r="C35" s="170"/>
      <c r="D35" s="171"/>
      <c r="E35" s="171"/>
      <c r="F35" s="170"/>
      <c r="G35" s="170"/>
      <c r="H35" s="170"/>
      <c r="I35" s="170"/>
      <c r="J35" s="171"/>
      <c r="K35" s="184"/>
      <c r="L35" s="184"/>
      <c r="M35" s="184"/>
      <c r="N35" s="184"/>
      <c r="O35" s="169"/>
      <c r="P35" s="170"/>
      <c r="Q35" s="170"/>
      <c r="R35" s="169"/>
      <c r="S35" s="170"/>
      <c r="T35" s="170"/>
      <c r="U35" s="170"/>
      <c r="V35" s="170"/>
      <c r="W35" s="170"/>
      <c r="X35" s="170"/>
      <c r="Y35" s="169"/>
      <c r="Z35" s="170"/>
      <c r="AA35" s="184"/>
      <c r="AB35" s="170"/>
      <c r="AC35" s="171"/>
      <c r="AD35" s="171"/>
      <c r="AE35" s="184"/>
      <c r="AF35" s="171"/>
      <c r="AG35" s="171"/>
      <c r="AH35" s="185"/>
      <c r="AI35" s="171"/>
      <c r="AJ35" s="171"/>
      <c r="AK35" s="171"/>
      <c r="AL35" s="171"/>
      <c r="AM35" s="25"/>
      <c r="AN35" s="25"/>
      <c r="AP35" s="25"/>
      <c r="AQ35" s="20"/>
      <c r="AR35" s="20"/>
      <c r="AS35" s="20"/>
      <c r="AT35" s="11"/>
      <c r="AU35" s="20"/>
      <c r="AV35" s="25"/>
      <c r="BI35" s="25"/>
      <c r="BJ35" s="25"/>
      <c r="BK35" s="25"/>
      <c r="BL35" s="25"/>
      <c r="BM35" s="25"/>
      <c r="BN35" s="25"/>
      <c r="BO35" s="25"/>
    </row>
    <row r="36" spans="1:67" s="19" customFormat="1" ht="13.5" hidden="1" customHeight="1" x14ac:dyDescent="0.25">
      <c r="A36" s="240"/>
      <c r="B36" s="169"/>
      <c r="C36" s="171"/>
      <c r="D36" s="171"/>
      <c r="E36" s="171"/>
      <c r="F36" s="171"/>
      <c r="G36" s="171"/>
      <c r="H36" s="171"/>
      <c r="I36" s="171"/>
      <c r="J36" s="171"/>
      <c r="K36" s="184"/>
      <c r="L36" s="184"/>
      <c r="M36" s="184"/>
      <c r="N36" s="184"/>
      <c r="O36" s="169"/>
      <c r="P36" s="171"/>
      <c r="Q36" s="171"/>
      <c r="R36" s="169"/>
      <c r="S36" s="171"/>
      <c r="T36" s="171"/>
      <c r="U36" s="171"/>
      <c r="V36" s="171"/>
      <c r="W36" s="171"/>
      <c r="X36" s="171"/>
      <c r="Y36" s="169"/>
      <c r="Z36" s="171"/>
      <c r="AA36" s="184"/>
      <c r="AB36" s="171"/>
      <c r="AC36" s="171"/>
      <c r="AD36" s="171"/>
      <c r="AE36" s="184"/>
      <c r="AF36" s="171"/>
      <c r="AG36" s="171"/>
      <c r="AH36" s="185"/>
      <c r="AI36" s="171"/>
      <c r="AJ36" s="171"/>
      <c r="AK36" s="171"/>
      <c r="AL36" s="171"/>
      <c r="AM36" s="25"/>
      <c r="AN36" s="25"/>
      <c r="AO36" s="25"/>
      <c r="AP36" s="25"/>
      <c r="AQ36" s="25"/>
      <c r="AR36" s="25"/>
      <c r="AS36" s="25"/>
      <c r="AT36" s="11"/>
      <c r="AU36" s="25"/>
      <c r="AV36" s="25"/>
      <c r="BI36" s="25"/>
      <c r="BJ36" s="25"/>
      <c r="BK36" s="25"/>
      <c r="BL36" s="25"/>
      <c r="BM36" s="25"/>
      <c r="BN36" s="25"/>
      <c r="BO36" s="25"/>
    </row>
    <row r="37" spans="1:67" s="19" customFormat="1" ht="13.5" customHeight="1" x14ac:dyDescent="0.25">
      <c r="A37" s="240"/>
      <c r="B37" s="169"/>
      <c r="C37" s="171"/>
      <c r="D37" s="171"/>
      <c r="E37" s="171"/>
      <c r="F37" s="171"/>
      <c r="G37" s="171"/>
      <c r="H37" s="171"/>
      <c r="I37" s="171"/>
      <c r="J37" s="171"/>
      <c r="K37" s="169"/>
      <c r="L37" s="169"/>
      <c r="M37" s="169"/>
      <c r="N37" s="171"/>
      <c r="O37" s="169"/>
      <c r="P37" s="171"/>
      <c r="Q37" s="169"/>
      <c r="R37" s="169"/>
      <c r="S37" s="171"/>
      <c r="T37" s="171"/>
      <c r="U37" s="170"/>
      <c r="V37" s="171"/>
      <c r="W37" s="171"/>
      <c r="X37" s="171"/>
      <c r="Y37" s="169"/>
      <c r="Z37" s="169"/>
      <c r="AA37" s="171"/>
      <c r="AB37" s="171"/>
      <c r="AC37" s="169"/>
      <c r="AD37" s="169"/>
      <c r="AE37" s="167"/>
      <c r="AF37" s="167"/>
      <c r="AG37" s="167"/>
      <c r="AH37" s="185"/>
      <c r="AI37" s="182"/>
      <c r="AJ37" s="182"/>
      <c r="AK37" s="182"/>
      <c r="AL37" s="182"/>
      <c r="AM37" s="25"/>
      <c r="AN37" s="25"/>
      <c r="AO37" s="25"/>
      <c r="AP37" s="25"/>
      <c r="AQ37" s="25"/>
      <c r="AR37" s="25"/>
      <c r="AS37" s="25"/>
      <c r="AT37" s="13"/>
      <c r="AU37" s="25"/>
      <c r="AV37" s="25"/>
      <c r="BI37" s="25"/>
      <c r="BJ37" s="25"/>
      <c r="BK37" s="25"/>
      <c r="BL37" s="25"/>
      <c r="BM37" s="25"/>
      <c r="BN37" s="25"/>
      <c r="BO37" s="25"/>
    </row>
    <row r="38" spans="1:67" s="19" customFormat="1" ht="15" customHeight="1" x14ac:dyDescent="0.25">
      <c r="A38" s="486"/>
      <c r="B38" s="487" t="s">
        <v>188</v>
      </c>
      <c r="C38" s="486"/>
      <c r="D38" s="486"/>
      <c r="E38" s="486"/>
      <c r="F38" s="486"/>
      <c r="G38" s="486"/>
      <c r="H38" s="486"/>
      <c r="I38" s="486"/>
      <c r="J38" s="486"/>
      <c r="K38" s="486"/>
      <c r="L38" s="486"/>
      <c r="M38" s="486"/>
      <c r="N38" s="486"/>
      <c r="O38" s="486"/>
      <c r="P38" s="486"/>
      <c r="Q38" s="488"/>
      <c r="R38" s="488"/>
      <c r="S38" s="488"/>
      <c r="T38" s="488"/>
      <c r="U38" s="488"/>
      <c r="V38" s="488"/>
      <c r="W38" s="488"/>
      <c r="X38" s="488"/>
      <c r="Y38" s="488"/>
      <c r="Z38" s="488"/>
      <c r="AA38" s="488"/>
      <c r="AB38" s="488"/>
      <c r="AC38" s="488"/>
      <c r="AD38" s="488"/>
      <c r="AE38" s="489"/>
      <c r="AF38" s="489"/>
      <c r="AG38" s="490" t="s">
        <v>455</v>
      </c>
      <c r="AH38" s="491"/>
      <c r="AI38" s="182"/>
      <c r="AJ38" s="182"/>
      <c r="AK38" s="182"/>
      <c r="AL38" s="182"/>
      <c r="AM38" s="25"/>
      <c r="AN38" s="25"/>
      <c r="AO38" s="25"/>
      <c r="AP38" s="25"/>
      <c r="AQ38" s="25"/>
      <c r="AR38" s="25"/>
      <c r="AS38" s="25"/>
      <c r="AT38" s="145"/>
      <c r="AU38" s="25"/>
      <c r="AV38" s="25"/>
      <c r="BI38" s="25"/>
      <c r="BJ38" s="25"/>
      <c r="BK38" s="25"/>
      <c r="BL38" s="25"/>
      <c r="BM38" s="25"/>
      <c r="BN38" s="25"/>
      <c r="BO38" s="25"/>
    </row>
    <row r="39" spans="1:67" s="19" customFormat="1" ht="15" customHeight="1" x14ac:dyDescent="0.25">
      <c r="A39" s="53"/>
      <c r="B39" s="184" t="str">
        <f>C19</f>
        <v>T1=</v>
      </c>
      <c r="C39" s="184"/>
      <c r="D39" s="527" t="s">
        <v>1449</v>
      </c>
      <c r="E39" s="241"/>
      <c r="F39" s="241"/>
      <c r="G39" s="241"/>
      <c r="H39" s="241"/>
      <c r="I39" s="241"/>
      <c r="J39" s="241"/>
      <c r="K39" s="241"/>
      <c r="L39" s="241"/>
      <c r="M39" s="241"/>
      <c r="N39" s="241"/>
      <c r="O39" s="241"/>
      <c r="P39" s="241"/>
      <c r="Q39" s="241"/>
      <c r="R39" s="241"/>
      <c r="S39" s="184"/>
      <c r="T39" s="184"/>
      <c r="U39" s="169"/>
      <c r="V39" s="242"/>
      <c r="W39" s="242"/>
      <c r="X39" s="242"/>
      <c r="Y39" s="242"/>
      <c r="Z39" s="242"/>
      <c r="AA39" s="242"/>
      <c r="AB39" s="242"/>
      <c r="AC39" s="242"/>
      <c r="AD39" s="242"/>
      <c r="AE39" s="242"/>
      <c r="AF39" s="242"/>
      <c r="AG39" s="243"/>
      <c r="AH39" s="241"/>
      <c r="AI39" s="52"/>
      <c r="AJ39" s="52"/>
      <c r="AK39" s="52"/>
      <c r="AL39" s="52"/>
      <c r="AM39" s="20"/>
      <c r="AN39" s="20"/>
      <c r="AO39" s="20"/>
      <c r="AP39" s="20"/>
      <c r="AQ39" s="25"/>
      <c r="AR39" s="25"/>
      <c r="AS39" s="25"/>
      <c r="AU39" s="25"/>
      <c r="AV39" s="20"/>
      <c r="AW39" s="20"/>
      <c r="AX39" s="20"/>
      <c r="AY39" s="20"/>
      <c r="AZ39" s="20"/>
      <c r="BA39" s="20"/>
      <c r="BB39" s="20"/>
      <c r="BC39" s="20"/>
      <c r="BD39" s="20"/>
      <c r="BE39" s="20"/>
      <c r="BF39" s="20"/>
      <c r="BG39" s="20"/>
      <c r="BH39" s="20"/>
      <c r="BI39" s="20"/>
      <c r="BJ39" s="20"/>
      <c r="BK39" s="20"/>
      <c r="BL39" s="20"/>
      <c r="BM39" s="20"/>
      <c r="BN39" s="20"/>
      <c r="BO39" s="20"/>
    </row>
    <row r="40" spans="1:67" s="19" customFormat="1" ht="15" hidden="1" customHeight="1" x14ac:dyDescent="0.25">
      <c r="A40" s="53"/>
      <c r="B40" s="241" t="str">
        <f>O19</f>
        <v/>
      </c>
      <c r="C40" s="241"/>
      <c r="D40" s="169"/>
      <c r="E40" s="241"/>
      <c r="F40" s="241"/>
      <c r="G40" s="241"/>
      <c r="H40" s="241"/>
      <c r="I40" s="241"/>
      <c r="J40" s="241"/>
      <c r="K40" s="241"/>
      <c r="L40" s="241"/>
      <c r="M40" s="241"/>
      <c r="N40" s="241"/>
      <c r="O40" s="241"/>
      <c r="P40" s="241"/>
      <c r="Q40" s="241"/>
      <c r="R40" s="241"/>
      <c r="S40" s="241"/>
      <c r="T40" s="241"/>
      <c r="U40" s="241"/>
      <c r="V40" s="241"/>
      <c r="W40" s="241"/>
      <c r="X40" s="241"/>
      <c r="Y40" s="241"/>
      <c r="Z40" s="241"/>
      <c r="AA40" s="184"/>
      <c r="AB40" s="241"/>
      <c r="AC40" s="241"/>
      <c r="AD40" s="241"/>
      <c r="AE40" s="241"/>
      <c r="AF40" s="241"/>
      <c r="AG40" s="241"/>
      <c r="AH40" s="241"/>
      <c r="AI40" s="52"/>
      <c r="AJ40" s="52"/>
      <c r="AK40" s="52"/>
      <c r="AL40" s="52"/>
      <c r="AQ40" s="20"/>
      <c r="AR40" s="20"/>
      <c r="AS40" s="20"/>
      <c r="AU40" s="20"/>
      <c r="AW40" s="20"/>
      <c r="AX40" s="20"/>
      <c r="AY40" s="20"/>
      <c r="AZ40" s="20"/>
      <c r="BA40" s="20"/>
      <c r="BB40" s="20"/>
      <c r="BC40" s="20"/>
      <c r="BD40" s="20"/>
      <c r="BE40" s="20"/>
      <c r="BF40" s="20"/>
      <c r="BG40" s="20"/>
      <c r="BH40" s="20"/>
    </row>
    <row r="41" spans="1:67" ht="4.5" customHeight="1"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43"/>
      <c r="AA41" s="32"/>
      <c r="AB41" s="32"/>
      <c r="AC41" s="32"/>
      <c r="AD41" s="32"/>
      <c r="AE41" s="32"/>
      <c r="AF41" s="32"/>
      <c r="AG41" s="32"/>
      <c r="AH41" s="32"/>
      <c r="AI41" s="32"/>
      <c r="AJ41" s="32"/>
      <c r="AK41" s="32"/>
      <c r="AL41" s="32"/>
      <c r="AM41" s="19"/>
      <c r="AN41" s="19"/>
      <c r="AO41" s="19"/>
      <c r="AP41" s="19"/>
      <c r="AV41" s="19"/>
      <c r="BI41" s="19"/>
      <c r="BJ41" s="19"/>
      <c r="BK41" s="19"/>
      <c r="BL41" s="19"/>
      <c r="BM41" s="19"/>
      <c r="BN41" s="19"/>
      <c r="BO41" s="19"/>
    </row>
    <row r="42" spans="1:67" ht="15" hidden="1" customHeight="1" x14ac:dyDescent="0.25">
      <c r="A42" s="54" t="s">
        <v>441</v>
      </c>
      <c r="B42" s="55"/>
      <c r="C42" s="55"/>
      <c r="D42" s="55"/>
      <c r="E42" s="55"/>
      <c r="F42" s="55"/>
      <c r="G42" s="55"/>
      <c r="H42" s="55" t="s">
        <v>1216</v>
      </c>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6"/>
      <c r="AI42" s="43"/>
      <c r="AJ42" s="43"/>
      <c r="AK42" s="43"/>
      <c r="AL42" s="43"/>
      <c r="AM42" s="19"/>
      <c r="AN42" s="19"/>
      <c r="AO42" s="19"/>
      <c r="AP42" s="19"/>
      <c r="AQ42" s="19"/>
      <c r="AR42" s="19"/>
      <c r="AS42" s="19"/>
      <c r="AT42" s="19"/>
      <c r="AU42" s="19"/>
      <c r="AV42" s="19"/>
      <c r="BI42" s="19"/>
      <c r="BJ42" s="19"/>
      <c r="BK42" s="19"/>
      <c r="BL42" s="19"/>
    </row>
    <row r="43" spans="1:67" ht="6" hidden="1" customHeight="1"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43"/>
      <c r="AA43" s="32"/>
      <c r="AB43" s="32"/>
      <c r="AC43" s="32"/>
      <c r="AD43" s="32"/>
      <c r="AE43" s="32"/>
      <c r="AF43" s="32"/>
      <c r="AG43" s="32"/>
      <c r="AH43" s="32"/>
      <c r="AI43" s="32"/>
      <c r="AJ43" s="32"/>
      <c r="AK43" s="32"/>
      <c r="AL43" s="32"/>
      <c r="AM43" s="19"/>
      <c r="AN43" s="19"/>
      <c r="AO43" s="19"/>
      <c r="AP43" s="19"/>
      <c r="AQ43" s="19"/>
      <c r="AR43" s="19"/>
      <c r="AS43" s="19"/>
      <c r="AT43" s="19"/>
      <c r="AU43" s="19"/>
      <c r="AV43" s="19"/>
      <c r="BI43" s="19"/>
      <c r="BJ43" s="19"/>
      <c r="BK43" s="19"/>
      <c r="BL43" s="19"/>
    </row>
    <row r="44" spans="1:67" ht="15" customHeight="1" x14ac:dyDescent="0.25">
      <c r="A44" s="41" t="s">
        <v>181</v>
      </c>
      <c r="B44" s="40"/>
      <c r="C44" s="40"/>
      <c r="D44" s="40"/>
      <c r="E44" s="40"/>
      <c r="F44" s="40"/>
      <c r="G44" s="40"/>
      <c r="H44" s="40" t="s">
        <v>244</v>
      </c>
      <c r="I44" s="40"/>
      <c r="J44" s="40"/>
      <c r="K44" s="40"/>
      <c r="L44" s="40"/>
      <c r="M44" s="40"/>
      <c r="N44" s="40"/>
      <c r="O44" s="40"/>
      <c r="P44" s="40"/>
      <c r="Q44" s="541">
        <v>3</v>
      </c>
      <c r="R44" s="541" t="s">
        <v>11</v>
      </c>
      <c r="S44" s="852">
        <v>12</v>
      </c>
      <c r="T44" s="852"/>
      <c r="U44" s="542" t="s">
        <v>12</v>
      </c>
      <c r="V44" s="853">
        <f>Q44*S44</f>
        <v>36</v>
      </c>
      <c r="W44" s="853"/>
      <c r="X44" s="40" t="s">
        <v>41</v>
      </c>
      <c r="Y44" s="40"/>
      <c r="Z44" s="40"/>
      <c r="AA44" s="40"/>
      <c r="AB44" s="40"/>
      <c r="AC44" s="40"/>
      <c r="AD44" s="40"/>
      <c r="AE44" s="40"/>
      <c r="AF44" s="40"/>
      <c r="AG44" s="40"/>
      <c r="AH44" s="51"/>
      <c r="AI44" s="43"/>
      <c r="AJ44" s="43"/>
      <c r="AK44" s="43"/>
      <c r="AL44" s="43"/>
      <c r="AQ44" s="19"/>
      <c r="AR44" s="19"/>
      <c r="AS44" s="19"/>
      <c r="AT44" s="19"/>
      <c r="AU44" s="19"/>
    </row>
    <row r="45" spans="1:67" ht="15" customHeight="1" x14ac:dyDescent="0.25">
      <c r="A45" s="47"/>
      <c r="B45" s="48"/>
      <c r="C45" s="48"/>
      <c r="D45" s="48"/>
      <c r="E45" s="48"/>
      <c r="F45" s="48"/>
      <c r="G45" s="48"/>
      <c r="H45" s="48" t="s">
        <v>182</v>
      </c>
      <c r="I45" s="48"/>
      <c r="J45" s="48"/>
      <c r="K45" s="48"/>
      <c r="L45" s="48"/>
      <c r="M45" s="48"/>
      <c r="N45" s="48"/>
      <c r="O45" s="48"/>
      <c r="P45" s="48"/>
      <c r="Q45" s="543">
        <v>4</v>
      </c>
      <c r="R45" s="861" t="s">
        <v>613</v>
      </c>
      <c r="S45" s="861"/>
      <c r="T45" s="833">
        <f>MAX(A21:A37)</f>
        <v>7</v>
      </c>
      <c r="U45" s="833"/>
      <c r="V45" s="543"/>
      <c r="W45" s="544" t="s">
        <v>243</v>
      </c>
      <c r="X45" s="833">
        <f>Q45*T45</f>
        <v>28</v>
      </c>
      <c r="Y45" s="833"/>
      <c r="Z45" s="48" t="s">
        <v>183</v>
      </c>
      <c r="AA45" s="48"/>
      <c r="AB45" s="48"/>
      <c r="AC45" s="48"/>
      <c r="AD45" s="163"/>
      <c r="AE45" s="48"/>
      <c r="AF45" s="48"/>
      <c r="AG45" s="48"/>
      <c r="AH45" s="164" t="s">
        <v>614</v>
      </c>
      <c r="AI45" s="183"/>
      <c r="AJ45" s="183"/>
      <c r="AK45" s="183"/>
      <c r="AL45" s="183"/>
    </row>
    <row r="46" spans="1:67" ht="6.75" customHeight="1" x14ac:dyDescent="0.2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row>
    <row r="47" spans="1:67" ht="15" customHeight="1" x14ac:dyDescent="0.25">
      <c r="A47" s="41" t="s">
        <v>184</v>
      </c>
      <c r="B47" s="40"/>
      <c r="C47" s="40"/>
      <c r="D47" s="40"/>
      <c r="E47" s="40"/>
      <c r="F47" s="40"/>
      <c r="G47" s="40"/>
      <c r="H47" s="40" t="s">
        <v>1217</v>
      </c>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51"/>
      <c r="AI47" s="43"/>
      <c r="AJ47" s="43"/>
      <c r="AK47" s="43"/>
      <c r="AL47" s="43"/>
    </row>
    <row r="48" spans="1:67" ht="15" customHeight="1" x14ac:dyDescent="0.25">
      <c r="A48" s="47"/>
      <c r="B48" s="48"/>
      <c r="C48" s="48"/>
      <c r="D48" s="48"/>
      <c r="E48" s="48"/>
      <c r="F48" s="48"/>
      <c r="G48" s="48"/>
      <c r="H48" s="836">
        <v>200</v>
      </c>
      <c r="I48" s="836"/>
      <c r="J48" s="836"/>
      <c r="K48" s="836"/>
      <c r="L48" s="48" t="s">
        <v>185</v>
      </c>
      <c r="M48" s="48"/>
      <c r="N48" s="48"/>
      <c r="O48" s="265"/>
      <c r="P48" s="265"/>
      <c r="Q48" s="265"/>
      <c r="R48" s="265"/>
      <c r="S48" s="265"/>
      <c r="T48" s="265"/>
      <c r="U48" s="48"/>
      <c r="V48" s="48"/>
      <c r="W48" s="48"/>
      <c r="X48" s="48"/>
      <c r="Y48" s="48"/>
      <c r="Z48" s="48"/>
      <c r="AA48" s="48"/>
      <c r="AB48" s="48"/>
      <c r="AC48" s="48"/>
      <c r="AD48" s="48"/>
      <c r="AE48" s="48"/>
      <c r="AF48" s="48"/>
      <c r="AG48" s="48"/>
      <c r="AH48" s="50"/>
      <c r="AI48" s="43"/>
      <c r="AJ48" s="43"/>
      <c r="AK48" s="43"/>
      <c r="AL48" s="43"/>
    </row>
    <row r="49" spans="1:40" ht="6" customHeigh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row>
    <row r="50" spans="1:40" ht="15" customHeight="1" x14ac:dyDescent="0.25">
      <c r="A50" s="41" t="s">
        <v>1170</v>
      </c>
      <c r="B50" s="40"/>
      <c r="C50" s="40"/>
      <c r="D50" s="40"/>
      <c r="E50" s="40"/>
      <c r="F50" s="494" t="s">
        <v>951</v>
      </c>
      <c r="G50" s="494"/>
      <c r="H50" s="236" t="s">
        <v>1441</v>
      </c>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3"/>
      <c r="AI50" s="43"/>
      <c r="AJ50" s="43"/>
      <c r="AK50" s="43"/>
      <c r="AL50" s="43"/>
    </row>
    <row r="51" spans="1:40" ht="15" customHeight="1" x14ac:dyDescent="0.25">
      <c r="A51" s="42"/>
      <c r="B51" s="43"/>
      <c r="C51" s="43"/>
      <c r="D51" s="43"/>
      <c r="E51" s="43"/>
      <c r="F51" s="495" t="s">
        <v>18</v>
      </c>
      <c r="G51" s="495"/>
      <c r="H51" s="863" t="s">
        <v>1451</v>
      </c>
      <c r="I51" s="863"/>
      <c r="J51" s="863"/>
      <c r="K51" s="863"/>
      <c r="L51" s="863"/>
      <c r="M51" s="863"/>
      <c r="N51" s="863"/>
      <c r="O51" s="863"/>
      <c r="P51" s="863"/>
      <c r="Q51" s="863"/>
      <c r="R51" s="863"/>
      <c r="S51" s="863"/>
      <c r="T51" s="863"/>
      <c r="U51" s="863"/>
      <c r="V51" s="863"/>
      <c r="W51" s="863"/>
      <c r="X51" s="863"/>
      <c r="Y51" s="863"/>
      <c r="Z51" s="863"/>
      <c r="AA51" s="863"/>
      <c r="AB51" s="863"/>
      <c r="AC51" s="863"/>
      <c r="AD51" s="863"/>
      <c r="AE51" s="863"/>
      <c r="AF51" s="863"/>
      <c r="AG51" s="863"/>
      <c r="AH51" s="843"/>
      <c r="AI51" s="43"/>
      <c r="AJ51" s="43"/>
      <c r="AK51" s="43"/>
      <c r="AL51" s="43"/>
    </row>
    <row r="52" spans="1:40" ht="34.5" customHeight="1" x14ac:dyDescent="0.25">
      <c r="A52" s="47"/>
      <c r="B52" s="48"/>
      <c r="C52" s="48"/>
      <c r="D52" s="48"/>
      <c r="E52" s="48"/>
      <c r="F52" s="48"/>
      <c r="G52" s="48"/>
      <c r="H52" s="859"/>
      <c r="I52" s="859"/>
      <c r="J52" s="859"/>
      <c r="K52" s="859"/>
      <c r="L52" s="859"/>
      <c r="M52" s="859"/>
      <c r="N52" s="859"/>
      <c r="O52" s="859"/>
      <c r="P52" s="859"/>
      <c r="Q52" s="859"/>
      <c r="R52" s="859"/>
      <c r="S52" s="859"/>
      <c r="T52" s="859"/>
      <c r="U52" s="859"/>
      <c r="V52" s="859"/>
      <c r="W52" s="859"/>
      <c r="X52" s="859"/>
      <c r="Y52" s="859"/>
      <c r="Z52" s="859"/>
      <c r="AA52" s="859"/>
      <c r="AB52" s="859"/>
      <c r="AC52" s="859"/>
      <c r="AD52" s="859"/>
      <c r="AE52" s="859"/>
      <c r="AF52" s="859"/>
      <c r="AG52" s="859"/>
      <c r="AH52" s="860"/>
      <c r="AI52" s="43"/>
      <c r="AJ52" s="43"/>
      <c r="AK52" s="43"/>
      <c r="AL52" s="43"/>
    </row>
    <row r="53" spans="1:40" ht="15" hidden="1" customHeight="1" x14ac:dyDescent="0.25">
      <c r="A53" s="42"/>
      <c r="B53" s="43"/>
      <c r="C53" s="43"/>
      <c r="D53" s="43"/>
      <c r="E53" s="43"/>
      <c r="F53" s="43"/>
      <c r="G53" s="43"/>
      <c r="H53" s="43"/>
      <c r="I53" s="43"/>
      <c r="J53" s="43"/>
      <c r="K53" s="43"/>
      <c r="L53" s="43"/>
      <c r="M53" s="43"/>
      <c r="N53" s="43"/>
      <c r="O53" s="59"/>
      <c r="P53" s="43"/>
      <c r="Q53" s="43"/>
      <c r="R53" s="59"/>
      <c r="S53" s="43"/>
      <c r="T53" s="43"/>
      <c r="U53" s="43"/>
      <c r="V53" s="43"/>
      <c r="W53" s="43"/>
      <c r="X53" s="43"/>
      <c r="Y53" s="43"/>
      <c r="Z53" s="43"/>
      <c r="AA53" s="43"/>
      <c r="AB53" s="43"/>
      <c r="AC53" s="43"/>
      <c r="AD53" s="43"/>
      <c r="AE53" s="43"/>
      <c r="AF53" s="43"/>
      <c r="AG53" s="43"/>
      <c r="AH53" s="49"/>
      <c r="AI53" s="43"/>
      <c r="AJ53" s="43"/>
      <c r="AK53" s="43"/>
      <c r="AL53" s="43"/>
    </row>
    <row r="54" spans="1:40" ht="15" hidden="1" customHeight="1" x14ac:dyDescent="0.25">
      <c r="A54" s="47"/>
      <c r="B54" s="48"/>
      <c r="C54" s="48"/>
      <c r="D54" s="48"/>
      <c r="E54" s="48"/>
      <c r="F54" s="48"/>
      <c r="G54" s="48"/>
      <c r="H54" s="48"/>
      <c r="I54" s="48"/>
      <c r="J54" s="48"/>
      <c r="K54" s="48"/>
      <c r="L54" s="48"/>
      <c r="M54" s="48"/>
      <c r="N54" s="48"/>
      <c r="O54" s="92"/>
      <c r="P54" s="48"/>
      <c r="Q54" s="48"/>
      <c r="R54" s="92"/>
      <c r="S54" s="48"/>
      <c r="T54" s="48"/>
      <c r="U54" s="48"/>
      <c r="V54" s="48"/>
      <c r="W54" s="48"/>
      <c r="X54" s="48"/>
      <c r="Y54" s="48"/>
      <c r="Z54" s="48"/>
      <c r="AA54" s="48"/>
      <c r="AB54" s="48"/>
      <c r="AC54" s="48"/>
      <c r="AD54" s="48"/>
      <c r="AE54" s="48"/>
      <c r="AF54" s="48"/>
      <c r="AG54" s="48"/>
      <c r="AH54" s="50"/>
      <c r="AI54" s="43"/>
      <c r="AJ54" s="43"/>
      <c r="AK54" s="43"/>
      <c r="AL54" s="43"/>
    </row>
    <row r="55" spans="1:40" ht="5.25" customHeight="1"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276"/>
    </row>
    <row r="56" spans="1:40" ht="15" customHeight="1" x14ac:dyDescent="0.25">
      <c r="A56" s="54" t="s">
        <v>186</v>
      </c>
      <c r="B56" s="55"/>
      <c r="C56" s="55"/>
      <c r="D56" s="55"/>
      <c r="E56" s="55"/>
      <c r="F56" s="55"/>
      <c r="G56" s="55"/>
      <c r="H56" s="55" t="s">
        <v>795</v>
      </c>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6"/>
      <c r="AI56" s="43"/>
      <c r="AJ56" s="43"/>
      <c r="AK56" s="43"/>
      <c r="AL56" s="374" t="s">
        <v>456</v>
      </c>
    </row>
    <row r="57" spans="1:40" ht="6.75" customHeigh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74" t="s">
        <v>457</v>
      </c>
    </row>
    <row r="58" spans="1:40" ht="16.5" customHeight="1" x14ac:dyDescent="0.25">
      <c r="A58" s="809" t="s">
        <v>187</v>
      </c>
      <c r="B58" s="236"/>
      <c r="C58" s="236"/>
      <c r="D58" s="236"/>
      <c r="E58" s="236"/>
      <c r="F58" s="236"/>
      <c r="G58" s="236"/>
      <c r="H58" s="236" t="s">
        <v>1453</v>
      </c>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8"/>
      <c r="AI58" s="43"/>
      <c r="AJ58" s="43"/>
      <c r="AK58" s="43"/>
      <c r="AL58" s="374" t="s">
        <v>458</v>
      </c>
      <c r="AN58" s="20" t="s">
        <v>1156</v>
      </c>
    </row>
    <row r="59" spans="1:40" ht="16.5" hidden="1" customHeight="1" x14ac:dyDescent="0.25">
      <c r="A59" s="810"/>
      <c r="B59" s="197"/>
      <c r="C59" s="197"/>
      <c r="D59" s="197"/>
      <c r="E59" s="197"/>
      <c r="F59" s="197"/>
      <c r="G59" s="197"/>
      <c r="H59" s="842"/>
      <c r="I59" s="842"/>
      <c r="J59" s="842"/>
      <c r="K59" s="842"/>
      <c r="L59" s="842"/>
      <c r="M59" s="842"/>
      <c r="N59" s="842"/>
      <c r="O59" s="842"/>
      <c r="P59" s="842"/>
      <c r="Q59" s="842"/>
      <c r="R59" s="842"/>
      <c r="S59" s="842"/>
      <c r="T59" s="842"/>
      <c r="U59" s="842"/>
      <c r="V59" s="842"/>
      <c r="W59" s="842"/>
      <c r="X59" s="842"/>
      <c r="Y59" s="842"/>
      <c r="Z59" s="842"/>
      <c r="AA59" s="842"/>
      <c r="AB59" s="842"/>
      <c r="AC59" s="842"/>
      <c r="AD59" s="842"/>
      <c r="AE59" s="842"/>
      <c r="AF59" s="842"/>
      <c r="AG59" s="842"/>
      <c r="AH59" s="843"/>
      <c r="AI59" s="43"/>
      <c r="AJ59" s="43"/>
      <c r="AK59" s="43"/>
      <c r="AL59" s="374" t="s">
        <v>459</v>
      </c>
      <c r="AN59" s="20" t="s">
        <v>796</v>
      </c>
    </row>
    <row r="60" spans="1:40" ht="16.5" customHeight="1" x14ac:dyDescent="0.25">
      <c r="A60" s="810"/>
      <c r="B60" s="197"/>
      <c r="C60" s="197"/>
      <c r="D60" s="197"/>
      <c r="E60" s="197"/>
      <c r="F60" s="197"/>
      <c r="G60" s="197"/>
      <c r="H60" s="842" t="s">
        <v>1452</v>
      </c>
      <c r="I60" s="842"/>
      <c r="J60" s="842"/>
      <c r="K60" s="842"/>
      <c r="L60" s="842"/>
      <c r="M60" s="842"/>
      <c r="N60" s="842"/>
      <c r="O60" s="842"/>
      <c r="P60" s="842"/>
      <c r="Q60" s="842"/>
      <c r="R60" s="842"/>
      <c r="S60" s="842"/>
      <c r="T60" s="842"/>
      <c r="U60" s="842"/>
      <c r="V60" s="842"/>
      <c r="W60" s="842"/>
      <c r="X60" s="842"/>
      <c r="Y60" s="842"/>
      <c r="Z60" s="842"/>
      <c r="AA60" s="842"/>
      <c r="AB60" s="842"/>
      <c r="AC60" s="842"/>
      <c r="AD60" s="842"/>
      <c r="AE60" s="842"/>
      <c r="AF60" s="842"/>
      <c r="AG60" s="842"/>
      <c r="AH60" s="843"/>
      <c r="AI60" s="43"/>
      <c r="AJ60" s="43"/>
      <c r="AK60" s="43"/>
      <c r="AL60" s="374"/>
    </row>
    <row r="61" spans="1:40" ht="16.5" customHeight="1" x14ac:dyDescent="0.25">
      <c r="A61" s="811"/>
      <c r="B61" s="265"/>
      <c r="C61" s="265"/>
      <c r="D61" s="265"/>
      <c r="E61" s="265"/>
      <c r="F61" s="265"/>
      <c r="G61" s="265"/>
      <c r="H61" s="859" t="s">
        <v>1156</v>
      </c>
      <c r="I61" s="859"/>
      <c r="J61" s="859"/>
      <c r="K61" s="859"/>
      <c r="L61" s="859"/>
      <c r="M61" s="859"/>
      <c r="N61" s="859"/>
      <c r="O61" s="859"/>
      <c r="P61" s="859"/>
      <c r="Q61" s="859"/>
      <c r="R61" s="859"/>
      <c r="S61" s="859"/>
      <c r="T61" s="859"/>
      <c r="U61" s="859"/>
      <c r="V61" s="859"/>
      <c r="W61" s="859"/>
      <c r="X61" s="859"/>
      <c r="Y61" s="859"/>
      <c r="Z61" s="859"/>
      <c r="AA61" s="859"/>
      <c r="AB61" s="859"/>
      <c r="AC61" s="859"/>
      <c r="AD61" s="859"/>
      <c r="AE61" s="859"/>
      <c r="AF61" s="859"/>
      <c r="AG61" s="859"/>
      <c r="AH61" s="860"/>
      <c r="AI61" s="43"/>
      <c r="AJ61" s="43"/>
      <c r="AK61" s="43"/>
      <c r="AL61" s="374" t="s">
        <v>460</v>
      </c>
    </row>
    <row r="62" spans="1:40" ht="3.75" hidden="1" customHeight="1"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74" t="s">
        <v>461</v>
      </c>
    </row>
    <row r="63" spans="1:40" ht="15" hidden="1" customHeight="1" x14ac:dyDescent="0.25">
      <c r="A63" s="41" t="s">
        <v>189</v>
      </c>
      <c r="B63" s="40"/>
      <c r="C63" s="40"/>
      <c r="D63" s="40"/>
      <c r="E63" s="40"/>
      <c r="F63" s="40"/>
      <c r="G63" s="40"/>
      <c r="H63" s="40" t="s">
        <v>190</v>
      </c>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51"/>
      <c r="AI63" s="43"/>
      <c r="AJ63" s="43"/>
      <c r="AK63" s="43"/>
      <c r="AL63" s="374" t="s">
        <v>462</v>
      </c>
    </row>
    <row r="64" spans="1:40" ht="15" hidden="1" customHeight="1" x14ac:dyDescent="0.25">
      <c r="A64" s="42"/>
      <c r="B64" s="43"/>
      <c r="C64" s="43"/>
      <c r="D64" s="43"/>
      <c r="E64" s="43"/>
      <c r="F64" s="43"/>
      <c r="G64" s="43"/>
      <c r="H64" s="43" t="s">
        <v>191</v>
      </c>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9"/>
      <c r="AI64" s="43"/>
      <c r="AJ64" s="43"/>
      <c r="AK64" s="43"/>
      <c r="AL64" s="374" t="s">
        <v>464</v>
      </c>
    </row>
    <row r="65" spans="1:41" ht="15" hidden="1" customHeight="1" x14ac:dyDescent="0.25">
      <c r="A65" s="47"/>
      <c r="B65" s="48"/>
      <c r="C65" s="48"/>
      <c r="D65" s="48"/>
      <c r="E65" s="48"/>
      <c r="F65" s="48"/>
      <c r="G65" s="48"/>
      <c r="H65" s="48" t="s">
        <v>245</v>
      </c>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50"/>
      <c r="AI65" s="43"/>
      <c r="AJ65" s="43"/>
      <c r="AK65" s="43"/>
      <c r="AL65" s="374" t="s">
        <v>466</v>
      </c>
    </row>
    <row r="66" spans="1:41" ht="3.7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43"/>
      <c r="AJ66" s="43"/>
      <c r="AK66" s="43"/>
      <c r="AL66" s="375"/>
    </row>
    <row r="67" spans="1:41" ht="34.5" customHeight="1" x14ac:dyDescent="0.25">
      <c r="A67" s="278" t="s">
        <v>192</v>
      </c>
      <c r="B67" s="55"/>
      <c r="C67" s="55"/>
      <c r="D67" s="55"/>
      <c r="E67" s="55"/>
      <c r="F67" s="55"/>
      <c r="G67" s="55"/>
      <c r="H67" s="850" t="s">
        <v>873</v>
      </c>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1"/>
      <c r="AI67" s="43"/>
      <c r="AK67" s="43"/>
      <c r="AL67" s="376"/>
    </row>
    <row r="68" spans="1:41" ht="4.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276"/>
      <c r="AK68" s="276"/>
      <c r="AL68" s="377"/>
    </row>
    <row r="69" spans="1:41" ht="15" customHeight="1" x14ac:dyDescent="0.25">
      <c r="A69" s="57" t="s">
        <v>193</v>
      </c>
      <c r="B69" s="40"/>
      <c r="C69" s="40"/>
      <c r="D69" s="40"/>
      <c r="E69" s="40"/>
      <c r="F69" s="40"/>
      <c r="G69" s="40"/>
      <c r="H69" s="530" t="s">
        <v>612</v>
      </c>
      <c r="I69" s="531"/>
      <c r="J69" s="531"/>
      <c r="K69" s="531"/>
      <c r="L69" s="531"/>
      <c r="M69" s="531"/>
      <c r="N69" s="531"/>
      <c r="O69" s="531"/>
      <c r="P69" s="531"/>
      <c r="Q69" s="531"/>
      <c r="R69" s="531"/>
      <c r="S69" s="531"/>
      <c r="T69" s="531"/>
      <c r="U69" s="532" t="s">
        <v>949</v>
      </c>
      <c r="V69" s="531"/>
      <c r="W69" s="40"/>
      <c r="X69" s="40"/>
      <c r="Y69" s="40"/>
      <c r="Z69" s="40"/>
      <c r="AA69" s="40"/>
      <c r="AB69" s="40"/>
      <c r="AC69" s="40"/>
      <c r="AD69" s="40"/>
      <c r="AE69" s="40"/>
      <c r="AF69" s="40"/>
      <c r="AG69" s="40"/>
      <c r="AH69" s="51"/>
      <c r="AI69" s="276"/>
      <c r="AL69" s="378">
        <f t="shared" ref="AL69:AL79" si="3">AU4</f>
        <v>0</v>
      </c>
      <c r="AN69" s="20">
        <v>0</v>
      </c>
      <c r="AO69" s="20" t="s">
        <v>954</v>
      </c>
    </row>
    <row r="70" spans="1:41" ht="15" hidden="1" customHeight="1" x14ac:dyDescent="0.25">
      <c r="A70" s="42"/>
      <c r="B70" s="196" t="s">
        <v>948</v>
      </c>
      <c r="C70" s="43"/>
      <c r="D70" s="326">
        <v>0</v>
      </c>
      <c r="E70" s="43"/>
      <c r="F70" s="43"/>
      <c r="G70" s="43"/>
      <c r="H70" s="32" t="str">
        <f>IF(D$70&gt;0,"F1:","")</f>
        <v/>
      </c>
      <c r="I70" s="32"/>
      <c r="J70" s="188" t="s">
        <v>275</v>
      </c>
      <c r="K70" s="835" t="s">
        <v>1128</v>
      </c>
      <c r="L70" s="835"/>
      <c r="M70" s="835"/>
      <c r="N70" s="835"/>
      <c r="O70" s="835"/>
      <c r="P70" s="835"/>
      <c r="Q70" s="835"/>
      <c r="R70" s="835"/>
      <c r="S70" s="835"/>
      <c r="T70" s="835"/>
      <c r="U70" s="828"/>
      <c r="V70" s="828"/>
      <c r="W70" s="828"/>
      <c r="X70" s="828"/>
      <c r="Y70" s="828"/>
      <c r="Z70" s="828"/>
      <c r="AA70" s="828"/>
      <c r="AB70" s="828"/>
      <c r="AC70" s="828"/>
      <c r="AD70" s="828"/>
      <c r="AE70" s="828"/>
      <c r="AF70" s="828"/>
      <c r="AG70" s="58"/>
      <c r="AH70" s="49"/>
      <c r="AI70" s="276"/>
      <c r="AL70" s="378">
        <f t="shared" si="3"/>
        <v>0</v>
      </c>
      <c r="AN70" s="20">
        <v>1</v>
      </c>
      <c r="AO70" s="20" t="s">
        <v>937</v>
      </c>
    </row>
    <row r="71" spans="1:41" ht="15" hidden="1" customHeight="1" x14ac:dyDescent="0.25">
      <c r="A71" s="219" t="str">
        <f>IF(D70=0,"Skriv in antal i orange ruta","")</f>
        <v>Skriv in antal i orange ruta</v>
      </c>
      <c r="B71" s="194"/>
      <c r="C71" s="194"/>
      <c r="D71" s="194"/>
      <c r="E71" s="194"/>
      <c r="G71" s="43"/>
      <c r="H71" s="32" t="str">
        <f>IF(D$70&gt;1,"F2:","")</f>
        <v/>
      </c>
      <c r="I71" s="32"/>
      <c r="J71" s="188" t="s">
        <v>237</v>
      </c>
      <c r="K71" s="835" t="s">
        <v>1128</v>
      </c>
      <c r="L71" s="835"/>
      <c r="M71" s="835"/>
      <c r="N71" s="835"/>
      <c r="O71" s="835"/>
      <c r="P71" s="835"/>
      <c r="Q71" s="835"/>
      <c r="R71" s="835"/>
      <c r="S71" s="835"/>
      <c r="T71" s="835"/>
      <c r="U71" s="828"/>
      <c r="V71" s="828"/>
      <c r="W71" s="828"/>
      <c r="X71" s="828"/>
      <c r="Y71" s="828"/>
      <c r="Z71" s="828"/>
      <c r="AA71" s="828"/>
      <c r="AB71" s="828"/>
      <c r="AC71" s="828"/>
      <c r="AD71" s="828"/>
      <c r="AE71" s="828"/>
      <c r="AF71" s="828"/>
      <c r="AG71" s="162"/>
      <c r="AH71" s="49"/>
      <c r="AI71" s="276"/>
      <c r="AL71" s="378">
        <f t="shared" si="3"/>
        <v>0</v>
      </c>
      <c r="AN71" s="20">
        <v>2</v>
      </c>
      <c r="AO71" s="20" t="s">
        <v>938</v>
      </c>
    </row>
    <row r="72" spans="1:41" ht="15" hidden="1" customHeight="1" x14ac:dyDescent="0.25">
      <c r="A72" s="42"/>
      <c r="B72" s="43"/>
      <c r="C72" s="43"/>
      <c r="D72" s="43"/>
      <c r="E72" s="43"/>
      <c r="F72" s="195"/>
      <c r="G72" s="43"/>
      <c r="H72" s="32" t="str">
        <f>IF(D$70&gt;2,"F3:","")</f>
        <v/>
      </c>
      <c r="I72" s="32"/>
      <c r="J72" s="188"/>
      <c r="K72" s="835"/>
      <c r="L72" s="835"/>
      <c r="M72" s="835"/>
      <c r="N72" s="835"/>
      <c r="O72" s="835"/>
      <c r="P72" s="835"/>
      <c r="Q72" s="835"/>
      <c r="R72" s="835"/>
      <c r="S72" s="835"/>
      <c r="T72" s="835"/>
      <c r="U72" s="828"/>
      <c r="V72" s="828"/>
      <c r="W72" s="828"/>
      <c r="X72" s="828"/>
      <c r="Y72" s="828"/>
      <c r="Z72" s="828"/>
      <c r="AA72" s="828"/>
      <c r="AB72" s="828"/>
      <c r="AC72" s="828"/>
      <c r="AD72" s="828"/>
      <c r="AE72" s="828"/>
      <c r="AF72" s="828"/>
      <c r="AG72" s="162"/>
      <c r="AH72" s="49"/>
      <c r="AI72" s="276"/>
      <c r="AL72" s="378" t="str">
        <f t="shared" si="3"/>
        <v>+14-21 dagar</v>
      </c>
      <c r="AN72" s="20">
        <v>3</v>
      </c>
      <c r="AO72" s="20" t="s">
        <v>939</v>
      </c>
    </row>
    <row r="73" spans="1:41" ht="15" hidden="1" customHeight="1" x14ac:dyDescent="0.25">
      <c r="A73" s="42"/>
      <c r="B73" s="197"/>
      <c r="C73" s="43"/>
      <c r="D73" s="43"/>
      <c r="E73" s="43"/>
      <c r="F73" s="43"/>
      <c r="G73" s="43"/>
      <c r="H73" s="32" t="str">
        <f>IF(D$70&gt;3,"F4:","")</f>
        <v/>
      </c>
      <c r="I73" s="32"/>
      <c r="J73" s="188"/>
      <c r="K73" s="835"/>
      <c r="L73" s="835"/>
      <c r="M73" s="835"/>
      <c r="N73" s="835"/>
      <c r="O73" s="835"/>
      <c r="P73" s="835"/>
      <c r="Q73" s="835"/>
      <c r="R73" s="835"/>
      <c r="S73" s="835"/>
      <c r="T73" s="835"/>
      <c r="U73" s="828"/>
      <c r="V73" s="828"/>
      <c r="W73" s="828"/>
      <c r="X73" s="828"/>
      <c r="Y73" s="828"/>
      <c r="Z73" s="828"/>
      <c r="AA73" s="828"/>
      <c r="AB73" s="828"/>
      <c r="AC73" s="828"/>
      <c r="AD73" s="828"/>
      <c r="AE73" s="828"/>
      <c r="AF73" s="828"/>
      <c r="AG73" s="162"/>
      <c r="AH73" s="49"/>
      <c r="AI73" s="276"/>
      <c r="AL73" s="378">
        <f t="shared" si="3"/>
        <v>0</v>
      </c>
    </row>
    <row r="74" spans="1:41" s="23" customFormat="1" ht="15" hidden="1" customHeight="1" x14ac:dyDescent="0.25">
      <c r="A74" s="85"/>
      <c r="B74" s="197"/>
      <c r="C74" s="86"/>
      <c r="D74" s="86"/>
      <c r="E74" s="86"/>
      <c r="F74" s="86"/>
      <c r="G74" s="86"/>
      <c r="H74" s="32" t="str">
        <f>IF(D$70&gt;4,"F5:","")</f>
        <v/>
      </c>
      <c r="I74" s="87"/>
      <c r="J74" s="188"/>
      <c r="K74" s="835"/>
      <c r="L74" s="835"/>
      <c r="M74" s="835"/>
      <c r="N74" s="835"/>
      <c r="O74" s="835"/>
      <c r="P74" s="835"/>
      <c r="Q74" s="835"/>
      <c r="R74" s="835"/>
      <c r="S74" s="835"/>
      <c r="T74" s="835"/>
      <c r="U74" s="828"/>
      <c r="V74" s="828"/>
      <c r="W74" s="828"/>
      <c r="X74" s="828"/>
      <c r="Y74" s="828"/>
      <c r="Z74" s="828"/>
      <c r="AA74" s="828"/>
      <c r="AB74" s="828"/>
      <c r="AC74" s="828"/>
      <c r="AD74" s="828"/>
      <c r="AE74" s="828"/>
      <c r="AF74" s="828"/>
      <c r="AG74" s="162"/>
      <c r="AH74" s="49"/>
      <c r="AI74" s="276"/>
      <c r="AL74" s="378" t="str">
        <f t="shared" si="3"/>
        <v>+21-28 dagar</v>
      </c>
    </row>
    <row r="75" spans="1:41" s="23" customFormat="1" ht="15" hidden="1" customHeight="1" x14ac:dyDescent="0.25">
      <c r="A75" s="85"/>
      <c r="B75" s="202"/>
      <c r="C75" s="86"/>
      <c r="D75" s="86"/>
      <c r="E75" s="86"/>
      <c r="F75" s="86"/>
      <c r="G75" s="86"/>
      <c r="H75" s="32" t="str">
        <f>IF(D$70&gt;5,"F6:","")</f>
        <v/>
      </c>
      <c r="I75" s="87"/>
      <c r="J75" s="188"/>
      <c r="K75" s="835"/>
      <c r="L75" s="835"/>
      <c r="M75" s="835"/>
      <c r="N75" s="835"/>
      <c r="O75" s="835"/>
      <c r="P75" s="835"/>
      <c r="Q75" s="835"/>
      <c r="R75" s="835"/>
      <c r="S75" s="835"/>
      <c r="T75" s="835"/>
      <c r="U75" s="828"/>
      <c r="V75" s="828"/>
      <c r="W75" s="828"/>
      <c r="X75" s="828"/>
      <c r="Y75" s="828"/>
      <c r="Z75" s="828"/>
      <c r="AA75" s="828"/>
      <c r="AB75" s="828"/>
      <c r="AC75" s="828"/>
      <c r="AD75" s="828"/>
      <c r="AE75" s="828"/>
      <c r="AF75" s="828"/>
      <c r="AG75" s="162"/>
      <c r="AH75" s="49"/>
      <c r="AI75" s="276"/>
      <c r="AL75" s="378" t="str">
        <f t="shared" si="3"/>
        <v>+14-21 dagar</v>
      </c>
    </row>
    <row r="76" spans="1:41" ht="15" hidden="1" customHeight="1" x14ac:dyDescent="0.25">
      <c r="A76" s="42"/>
      <c r="B76" s="43"/>
      <c r="C76" s="43"/>
      <c r="D76" s="43"/>
      <c r="E76" s="43"/>
      <c r="F76" s="43"/>
      <c r="G76" s="43"/>
      <c r="H76" s="839" t="s">
        <v>1157</v>
      </c>
      <c r="I76" s="839"/>
      <c r="J76" s="839"/>
      <c r="K76" s="839"/>
      <c r="L76" s="839"/>
      <c r="M76" s="839"/>
      <c r="N76" s="839"/>
      <c r="O76" s="839"/>
      <c r="P76" s="839"/>
      <c r="Q76" s="839"/>
      <c r="R76" s="839"/>
      <c r="S76" s="839"/>
      <c r="T76" s="839"/>
      <c r="U76" s="839"/>
      <c r="V76" s="839"/>
      <c r="W76" s="839"/>
      <c r="X76" s="839"/>
      <c r="Y76" s="839"/>
      <c r="Z76" s="839"/>
      <c r="AA76" s="839"/>
      <c r="AB76" s="839"/>
      <c r="AC76" s="839"/>
      <c r="AD76" s="839"/>
      <c r="AE76" s="839"/>
      <c r="AF76" s="839"/>
      <c r="AG76" s="839"/>
      <c r="AH76" s="840"/>
      <c r="AI76" s="276"/>
      <c r="AL76" s="378" t="str">
        <f t="shared" si="3"/>
        <v>+28-42 dagar</v>
      </c>
    </row>
    <row r="77" spans="1:41" ht="15" hidden="1" customHeight="1" x14ac:dyDescent="0.25">
      <c r="A77" s="42"/>
      <c r="B77" s="43"/>
      <c r="C77" s="43"/>
      <c r="D77" s="43"/>
      <c r="F77" s="43"/>
      <c r="G77" s="43"/>
      <c r="H77" s="839"/>
      <c r="I77" s="839"/>
      <c r="J77" s="839"/>
      <c r="K77" s="839"/>
      <c r="L77" s="839"/>
      <c r="M77" s="839"/>
      <c r="N77" s="839"/>
      <c r="O77" s="839"/>
      <c r="P77" s="839"/>
      <c r="Q77" s="839"/>
      <c r="R77" s="839"/>
      <c r="S77" s="839"/>
      <c r="T77" s="839"/>
      <c r="U77" s="839"/>
      <c r="V77" s="839"/>
      <c r="W77" s="839"/>
      <c r="X77" s="839"/>
      <c r="Y77" s="839"/>
      <c r="Z77" s="839"/>
      <c r="AA77" s="839"/>
      <c r="AB77" s="839"/>
      <c r="AC77" s="839"/>
      <c r="AD77" s="839"/>
      <c r="AE77" s="839"/>
      <c r="AF77" s="839"/>
      <c r="AG77" s="839"/>
      <c r="AH77" s="840"/>
      <c r="AI77" s="276"/>
      <c r="AL77" s="378" t="str">
        <f t="shared" si="3"/>
        <v>BBCH 75</v>
      </c>
    </row>
    <row r="78" spans="1:41" ht="11.25" hidden="1" customHeight="1" x14ac:dyDescent="0.25">
      <c r="A78" s="42"/>
      <c r="B78" s="43"/>
      <c r="C78" s="43"/>
      <c r="D78" s="43"/>
      <c r="E78" s="44"/>
      <c r="F78" s="43"/>
      <c r="G78" s="43"/>
      <c r="H78" s="839"/>
      <c r="I78" s="839"/>
      <c r="J78" s="839"/>
      <c r="K78" s="839"/>
      <c r="L78" s="839"/>
      <c r="M78" s="839"/>
      <c r="N78" s="839"/>
      <c r="O78" s="839"/>
      <c r="P78" s="839"/>
      <c r="Q78" s="839"/>
      <c r="R78" s="839"/>
      <c r="S78" s="839"/>
      <c r="T78" s="839"/>
      <c r="U78" s="839"/>
      <c r="V78" s="839"/>
      <c r="W78" s="839"/>
      <c r="X78" s="839"/>
      <c r="Y78" s="839"/>
      <c r="Z78" s="839"/>
      <c r="AA78" s="839"/>
      <c r="AB78" s="839"/>
      <c r="AC78" s="839"/>
      <c r="AD78" s="839"/>
      <c r="AE78" s="839"/>
      <c r="AF78" s="839"/>
      <c r="AG78" s="839"/>
      <c r="AH78" s="840"/>
      <c r="AI78" s="276"/>
      <c r="AL78" s="378" t="str">
        <f t="shared" si="3"/>
        <v>BBCH  83</v>
      </c>
    </row>
    <row r="79" spans="1:41" ht="23.25" hidden="1" customHeight="1" x14ac:dyDescent="0.25">
      <c r="A79" s="42"/>
      <c r="B79" s="43"/>
      <c r="C79" s="43"/>
      <c r="D79" s="43"/>
      <c r="E79" s="43"/>
      <c r="F79" s="43"/>
      <c r="G79" s="43"/>
      <c r="H79" s="456" t="s">
        <v>203</v>
      </c>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9"/>
      <c r="AI79" s="276"/>
      <c r="AJ79" s="197"/>
      <c r="AL79" s="378" t="str">
        <f t="shared" si="3"/>
        <v>BBCH 75-85</v>
      </c>
    </row>
    <row r="80" spans="1:41" ht="15" hidden="1" customHeight="1" x14ac:dyDescent="0.25">
      <c r="A80" s="42"/>
      <c r="B80" s="44" t="s">
        <v>1158</v>
      </c>
      <c r="C80" s="43"/>
      <c r="D80" s="43"/>
      <c r="E80" s="326">
        <v>0</v>
      </c>
      <c r="F80" s="43"/>
      <c r="G80" s="43"/>
      <c r="H80" s="457" t="s">
        <v>1161</v>
      </c>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9"/>
      <c r="AI80" s="276"/>
      <c r="AJ80" s="466" t="str">
        <f>AU7</f>
        <v>+14-21 dagar</v>
      </c>
      <c r="AL80" s="378"/>
    </row>
    <row r="81" spans="1:69" ht="15" hidden="1" customHeight="1" x14ac:dyDescent="0.25">
      <c r="A81" s="42"/>
      <c r="B81" s="44" t="s">
        <v>1159</v>
      </c>
      <c r="C81" s="43"/>
      <c r="D81" s="43"/>
      <c r="E81" s="43"/>
      <c r="F81" s="43"/>
      <c r="G81" s="376" t="str">
        <f>IF(H81="G1:","Ob1:","")</f>
        <v/>
      </c>
      <c r="H81" s="162" t="str">
        <f>IF(E$80&gt;=1,"G1:","")</f>
        <v/>
      </c>
      <c r="I81" s="43"/>
      <c r="J81" s="188" t="s">
        <v>1121</v>
      </c>
      <c r="K81" s="827" t="s">
        <v>1130</v>
      </c>
      <c r="L81" s="827"/>
      <c r="M81" s="827"/>
      <c r="N81" s="827"/>
      <c r="O81" s="827"/>
      <c r="P81" s="43"/>
      <c r="Q81" s="43"/>
      <c r="R81" s="86" t="s">
        <v>1162</v>
      </c>
      <c r="S81" s="43"/>
      <c r="T81" s="43"/>
      <c r="U81" s="43"/>
      <c r="V81" s="43"/>
      <c r="W81" s="43"/>
      <c r="X81" s="43"/>
      <c r="Y81" s="43"/>
      <c r="Z81" s="43"/>
      <c r="AA81" s="43"/>
      <c r="AB81" s="43"/>
      <c r="AC81" s="43"/>
      <c r="AD81" s="43"/>
      <c r="AE81" s="43"/>
      <c r="AF81" s="43"/>
      <c r="AG81" s="43"/>
      <c r="AH81" s="49"/>
      <c r="AI81" s="276"/>
      <c r="AJ81" s="466">
        <f t="shared" ref="AJ81:AJ87" si="4">AU8</f>
        <v>0</v>
      </c>
      <c r="AL81" s="378"/>
    </row>
    <row r="82" spans="1:69" ht="15" hidden="1" customHeight="1" x14ac:dyDescent="0.25">
      <c r="A82" s="42"/>
      <c r="B82" s="44" t="s">
        <v>1160</v>
      </c>
      <c r="C82" s="43"/>
      <c r="D82" s="43"/>
      <c r="E82" s="43"/>
      <c r="F82" s="43"/>
      <c r="G82" s="376" t="str">
        <f>IF(H82="G2:","Ob2:","")</f>
        <v/>
      </c>
      <c r="H82" s="162" t="str">
        <f>IF(E$80&gt;=2,"G2:","")</f>
        <v/>
      </c>
      <c r="I82" s="43"/>
      <c r="J82" s="188" t="s">
        <v>1121</v>
      </c>
      <c r="K82" s="827" t="s">
        <v>1131</v>
      </c>
      <c r="L82" s="827"/>
      <c r="M82" s="827"/>
      <c r="N82" s="827"/>
      <c r="O82" s="827"/>
      <c r="P82" s="43"/>
      <c r="Q82" s="43"/>
      <c r="R82" s="86" t="s">
        <v>1163</v>
      </c>
      <c r="S82" s="43"/>
      <c r="T82" s="43"/>
      <c r="U82" s="43"/>
      <c r="V82" s="43"/>
      <c r="W82" s="43"/>
      <c r="X82" s="43"/>
      <c r="Y82" s="43"/>
      <c r="Z82" s="43"/>
      <c r="AA82" s="43"/>
      <c r="AB82" s="43"/>
      <c r="AC82" s="43"/>
      <c r="AD82" s="43"/>
      <c r="AE82" s="43"/>
      <c r="AF82" s="43"/>
      <c r="AG82" s="43"/>
      <c r="AH82" s="49"/>
      <c r="AI82" s="276"/>
      <c r="AJ82" s="466" t="str">
        <f t="shared" si="4"/>
        <v>+21-28 dagar</v>
      </c>
      <c r="AL82" s="378"/>
    </row>
    <row r="83" spans="1:69" ht="15" hidden="1" customHeight="1" x14ac:dyDescent="0.25">
      <c r="A83" s="42"/>
      <c r="B83" s="43"/>
      <c r="C83" s="43"/>
      <c r="D83" s="43"/>
      <c r="E83" s="43"/>
      <c r="F83" s="43"/>
      <c r="G83" s="376" t="str">
        <f>IF(H83="G3:","Ob3:","")</f>
        <v/>
      </c>
      <c r="H83" s="162" t="str">
        <f>IF(E$80&gt;=3,"G3:","")</f>
        <v/>
      </c>
      <c r="I83" s="43"/>
      <c r="J83" s="188"/>
      <c r="K83" s="827" t="s">
        <v>1134</v>
      </c>
      <c r="L83" s="827"/>
      <c r="M83" s="827"/>
      <c r="N83" s="827"/>
      <c r="O83" s="827"/>
      <c r="P83" s="43"/>
      <c r="Q83" s="43"/>
      <c r="R83" s="86" t="s">
        <v>1164</v>
      </c>
      <c r="S83" s="43"/>
      <c r="T83" s="43"/>
      <c r="U83" s="43"/>
      <c r="V83" s="43"/>
      <c r="W83" s="43"/>
      <c r="X83" s="43"/>
      <c r="Y83" s="43"/>
      <c r="Z83" s="43"/>
      <c r="AA83" s="43"/>
      <c r="AB83" s="43"/>
      <c r="AC83" s="43"/>
      <c r="AD83" s="43"/>
      <c r="AE83" s="43"/>
      <c r="AF83" s="43"/>
      <c r="AG83" s="43"/>
      <c r="AH83" s="49"/>
      <c r="AI83" s="276"/>
      <c r="AJ83" s="466" t="str">
        <f t="shared" si="4"/>
        <v>+14-21 dagar</v>
      </c>
      <c r="AL83" s="378"/>
    </row>
    <row r="84" spans="1:69" ht="15" hidden="1" customHeight="1" x14ac:dyDescent="0.25">
      <c r="A84" s="42"/>
      <c r="B84" s="43"/>
      <c r="C84" s="43"/>
      <c r="D84" s="43"/>
      <c r="E84" s="43"/>
      <c r="F84" s="43"/>
      <c r="G84" s="376" t="str">
        <f>IF(H84="G4:","Ob4:","")</f>
        <v/>
      </c>
      <c r="H84" s="162" t="str">
        <f>IF(E$80&gt;=4,"G4:","")</f>
        <v/>
      </c>
      <c r="I84" s="43"/>
      <c r="J84" s="188"/>
      <c r="K84" s="827"/>
      <c r="L84" s="827"/>
      <c r="M84" s="827"/>
      <c r="N84" s="827"/>
      <c r="O84" s="827"/>
      <c r="P84" s="43"/>
      <c r="Q84" s="43"/>
      <c r="R84" s="86"/>
      <c r="S84" s="43"/>
      <c r="T84" s="43"/>
      <c r="U84" s="43"/>
      <c r="V84" s="43"/>
      <c r="W84" s="43"/>
      <c r="X84" s="43"/>
      <c r="Y84" s="43"/>
      <c r="Z84" s="43"/>
      <c r="AA84" s="43"/>
      <c r="AB84" s="43"/>
      <c r="AC84" s="43"/>
      <c r="AD84" s="43"/>
      <c r="AE84" s="43"/>
      <c r="AF84" s="43"/>
      <c r="AG84" s="43"/>
      <c r="AH84" s="49"/>
      <c r="AI84" s="276"/>
      <c r="AJ84" s="466" t="str">
        <f t="shared" si="4"/>
        <v>+28-42 dagar</v>
      </c>
      <c r="AL84" s="378"/>
    </row>
    <row r="85" spans="1:69" ht="15" hidden="1" customHeight="1" x14ac:dyDescent="0.25">
      <c r="A85" s="42"/>
      <c r="B85" s="43"/>
      <c r="C85" s="43"/>
      <c r="D85" s="43"/>
      <c r="E85" s="43"/>
      <c r="F85" s="43"/>
      <c r="G85" s="376" t="str">
        <f>IF(H85="G5:","Ob5:","")</f>
        <v/>
      </c>
      <c r="H85" s="162" t="str">
        <f>IF(E$80&gt;=5,"G5:","")</f>
        <v/>
      </c>
      <c r="I85" s="43"/>
      <c r="J85" s="188"/>
      <c r="K85" s="827"/>
      <c r="L85" s="827"/>
      <c r="M85" s="827"/>
      <c r="N85" s="827"/>
      <c r="O85" s="827"/>
      <c r="P85" s="43"/>
      <c r="Q85" s="43"/>
      <c r="R85" s="86"/>
      <c r="S85" s="43"/>
      <c r="T85" s="43"/>
      <c r="U85" s="43"/>
      <c r="V85" s="43"/>
      <c r="W85" s="43"/>
      <c r="X85" s="43"/>
      <c r="Y85" s="43"/>
      <c r="Z85" s="43"/>
      <c r="AA85" s="43"/>
      <c r="AB85" s="43"/>
      <c r="AC85" s="43"/>
      <c r="AD85" s="43"/>
      <c r="AE85" s="43"/>
      <c r="AF85" s="43"/>
      <c r="AG85" s="43"/>
      <c r="AH85" s="49"/>
      <c r="AI85" s="276"/>
      <c r="AJ85" s="466" t="str">
        <f t="shared" si="4"/>
        <v>BBCH 75</v>
      </c>
      <c r="AL85" s="378"/>
    </row>
    <row r="86" spans="1:69" ht="15" hidden="1" customHeight="1" x14ac:dyDescent="0.25">
      <c r="A86" s="42"/>
      <c r="B86" s="43"/>
      <c r="C86" s="43"/>
      <c r="D86" s="43"/>
      <c r="E86" s="43"/>
      <c r="F86" s="43"/>
      <c r="G86" s="376" t="str">
        <f>IF(H86="G6:","Ob6:","")</f>
        <v/>
      </c>
      <c r="H86" s="162" t="str">
        <f>IF(E$80&gt;=6,"G6:","")</f>
        <v/>
      </c>
      <c r="I86" s="43"/>
      <c r="J86" s="188"/>
      <c r="K86" s="827"/>
      <c r="L86" s="827"/>
      <c r="M86" s="827"/>
      <c r="N86" s="827"/>
      <c r="O86" s="827"/>
      <c r="P86" s="43"/>
      <c r="Q86" s="43"/>
      <c r="R86" s="86"/>
      <c r="S86" s="43"/>
      <c r="T86" s="43"/>
      <c r="U86" s="43"/>
      <c r="V86" s="43"/>
      <c r="W86" s="43"/>
      <c r="X86" s="43"/>
      <c r="Y86" s="43"/>
      <c r="Z86" s="43"/>
      <c r="AA86" s="43"/>
      <c r="AB86" s="43"/>
      <c r="AC86" s="43"/>
      <c r="AD86" s="43"/>
      <c r="AE86" s="43"/>
      <c r="AF86" s="43"/>
      <c r="AG86" s="43"/>
      <c r="AH86" s="49"/>
      <c r="AI86" s="276"/>
      <c r="AJ86" s="466" t="str">
        <f t="shared" si="4"/>
        <v>BBCH  83</v>
      </c>
      <c r="AL86" s="378"/>
    </row>
    <row r="87" spans="1:69" ht="18.75" hidden="1" customHeight="1" x14ac:dyDescent="0.25">
      <c r="A87" s="42"/>
      <c r="B87" s="43"/>
      <c r="C87" s="43"/>
      <c r="D87" s="43"/>
      <c r="E87" s="43"/>
      <c r="F87" s="43"/>
      <c r="G87" s="43"/>
      <c r="H87" s="59"/>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9"/>
      <c r="AI87" s="276"/>
      <c r="AJ87" s="466" t="str">
        <f t="shared" si="4"/>
        <v>BBCH 75-85</v>
      </c>
      <c r="AL87" s="378">
        <f>AU15</f>
        <v>0</v>
      </c>
    </row>
    <row r="88" spans="1:69" ht="15" hidden="1" customHeight="1" x14ac:dyDescent="0.25">
      <c r="A88" s="42"/>
      <c r="B88" s="44" t="s">
        <v>1158</v>
      </c>
      <c r="C88" s="43"/>
      <c r="D88" s="43"/>
      <c r="E88" s="43"/>
      <c r="F88" s="43"/>
      <c r="G88" s="43"/>
      <c r="H88" s="244" t="s">
        <v>1114</v>
      </c>
      <c r="I88" s="44"/>
      <c r="J88" s="364"/>
      <c r="K88" s="364"/>
      <c r="L88" s="364"/>
      <c r="M88" s="364"/>
      <c r="N88" s="364"/>
      <c r="O88" s="364"/>
      <c r="P88" s="364"/>
      <c r="Q88" s="364"/>
      <c r="R88" s="364"/>
      <c r="S88" s="364"/>
      <c r="T88" s="452" t="s">
        <v>1115</v>
      </c>
      <c r="U88" s="45"/>
      <c r="V88" s="43"/>
      <c r="W88" s="43"/>
      <c r="X88" s="43"/>
      <c r="Y88" s="43"/>
      <c r="Z88" s="43"/>
      <c r="AA88" s="43"/>
      <c r="AB88" s="43"/>
      <c r="AC88" s="43"/>
      <c r="AD88" s="43"/>
      <c r="AE88" s="43"/>
      <c r="AF88" s="43"/>
      <c r="AG88" s="43"/>
      <c r="AH88" s="49"/>
      <c r="AI88" s="162"/>
      <c r="AJ88" s="467" t="s">
        <v>1112</v>
      </c>
      <c r="AK88" s="162"/>
      <c r="AL88" s="446"/>
      <c r="AM88" s="25"/>
      <c r="AO88" s="380"/>
      <c r="AP88" s="380"/>
      <c r="BQ88" s="476" t="s">
        <v>1208</v>
      </c>
    </row>
    <row r="89" spans="1:69" ht="15" hidden="1" customHeight="1" x14ac:dyDescent="0.25">
      <c r="A89" s="42"/>
      <c r="B89" s="44" t="s">
        <v>759</v>
      </c>
      <c r="C89" s="43"/>
      <c r="D89" s="326">
        <v>3</v>
      </c>
      <c r="E89" s="197"/>
      <c r="F89" s="43"/>
      <c r="G89" s="43"/>
      <c r="H89" s="162" t="str">
        <f>IF(D$89&gt;=1,"G1:","")</f>
        <v>G1:</v>
      </c>
      <c r="I89" s="32"/>
      <c r="J89" s="188" t="s">
        <v>1121</v>
      </c>
      <c r="K89" s="827" t="s">
        <v>1130</v>
      </c>
      <c r="L89" s="827"/>
      <c r="M89" s="827"/>
      <c r="N89" s="827"/>
      <c r="O89" s="827"/>
      <c r="P89" s="45"/>
      <c r="Q89" s="45"/>
      <c r="R89" s="45"/>
      <c r="S89" s="45"/>
      <c r="T89" s="45"/>
      <c r="U89" s="45"/>
      <c r="V89" s="45"/>
      <c r="W89" s="45"/>
      <c r="X89" s="45"/>
      <c r="Y89" s="45"/>
      <c r="Z89" s="45"/>
      <c r="AA89" s="45"/>
      <c r="AB89" s="45"/>
      <c r="AC89" s="45"/>
      <c r="AD89" s="45"/>
      <c r="AE89" s="45"/>
      <c r="AF89" s="45"/>
      <c r="AG89" s="45"/>
      <c r="AH89" s="49"/>
      <c r="AI89" s="197"/>
      <c r="AJ89" s="467"/>
      <c r="AK89" s="197"/>
      <c r="AL89" s="277"/>
      <c r="BQ89" s="476" t="s">
        <v>1209</v>
      </c>
    </row>
    <row r="90" spans="1:69" ht="15" hidden="1" customHeight="1" x14ac:dyDescent="0.25">
      <c r="A90" s="219" t="str">
        <f>IF(D89=0,"Skriv in antal i orange ruta","")</f>
        <v/>
      </c>
      <c r="B90" s="162"/>
      <c r="C90" s="162"/>
      <c r="D90" s="162"/>
      <c r="E90" s="43"/>
      <c r="F90" s="43"/>
      <c r="G90" s="43"/>
      <c r="H90" s="162" t="str">
        <f>IF(D$89&gt;=2,"G2:","")</f>
        <v>G2:</v>
      </c>
      <c r="I90" s="32"/>
      <c r="J90" s="188" t="s">
        <v>1121</v>
      </c>
      <c r="K90" s="827" t="s">
        <v>1131</v>
      </c>
      <c r="L90" s="827"/>
      <c r="M90" s="827"/>
      <c r="N90" s="827"/>
      <c r="O90" s="827"/>
      <c r="P90" s="45"/>
      <c r="Q90" s="45"/>
      <c r="R90" s="45"/>
      <c r="S90" s="45"/>
      <c r="T90" s="45"/>
      <c r="U90" s="45"/>
      <c r="V90" s="45"/>
      <c r="W90" s="45"/>
      <c r="X90" s="45"/>
      <c r="Y90" s="45"/>
      <c r="Z90" s="45"/>
      <c r="AA90" s="45"/>
      <c r="AB90" s="45"/>
      <c r="AC90" s="45"/>
      <c r="AD90" s="45"/>
      <c r="AE90" s="45"/>
      <c r="AF90" s="45"/>
      <c r="AG90" s="45"/>
      <c r="AH90" s="49"/>
      <c r="AI90" s="197"/>
      <c r="AJ90" s="467"/>
      <c r="AK90" s="197"/>
      <c r="AL90" s="277"/>
      <c r="AW90" s="23"/>
      <c r="AX90" s="23"/>
      <c r="AY90" s="23"/>
      <c r="AZ90" s="23"/>
      <c r="BA90" s="23"/>
      <c r="BB90" s="23"/>
      <c r="BC90" s="23"/>
      <c r="BD90" s="23"/>
      <c r="BE90" s="23"/>
      <c r="BF90" s="23"/>
      <c r="BG90" s="23"/>
      <c r="BH90" s="23"/>
    </row>
    <row r="91" spans="1:69" ht="15" hidden="1" customHeight="1" x14ac:dyDescent="0.25">
      <c r="A91" s="42"/>
      <c r="B91" s="43"/>
      <c r="C91" s="43"/>
      <c r="D91" s="43"/>
      <c r="E91" s="43"/>
      <c r="F91" s="43"/>
      <c r="G91" s="43"/>
      <c r="H91" s="162" t="str">
        <f>IF(D$89&gt;=3,"G3:","")</f>
        <v>G3:</v>
      </c>
      <c r="I91" s="32"/>
      <c r="J91" s="188"/>
      <c r="K91" s="827" t="s">
        <v>1134</v>
      </c>
      <c r="L91" s="827"/>
      <c r="M91" s="827"/>
      <c r="N91" s="827"/>
      <c r="O91" s="827"/>
      <c r="P91" s="45"/>
      <c r="Q91" s="45"/>
      <c r="R91" s="45"/>
      <c r="S91" s="45"/>
      <c r="T91" s="45"/>
      <c r="U91" s="45"/>
      <c r="V91" s="45"/>
      <c r="W91" s="45"/>
      <c r="X91" s="45"/>
      <c r="Y91" s="45"/>
      <c r="Z91" s="45"/>
      <c r="AA91" s="45"/>
      <c r="AB91" s="45"/>
      <c r="AC91" s="45"/>
      <c r="AD91" s="45"/>
      <c r="AE91" s="45"/>
      <c r="AF91" s="45"/>
      <c r="AG91" s="45"/>
      <c r="AH91" s="49"/>
      <c r="AI91" s="197"/>
      <c r="AJ91" s="467"/>
      <c r="AK91" s="197"/>
      <c r="AL91" s="197"/>
    </row>
    <row r="92" spans="1:69" ht="15" hidden="1" customHeight="1" x14ac:dyDescent="0.25">
      <c r="A92" s="42"/>
      <c r="B92" s="43"/>
      <c r="C92" s="43"/>
      <c r="D92" s="43"/>
      <c r="E92" s="43"/>
      <c r="F92" s="43"/>
      <c r="G92" s="43"/>
      <c r="H92" s="162" t="str">
        <f>IF(D$89&gt;=4,"G4:","")</f>
        <v/>
      </c>
      <c r="I92" s="43"/>
      <c r="J92" s="188"/>
      <c r="K92" s="827"/>
      <c r="L92" s="827"/>
      <c r="M92" s="827"/>
      <c r="N92" s="827"/>
      <c r="O92" s="827"/>
      <c r="P92" s="45"/>
      <c r="Q92" s="45"/>
      <c r="R92" s="45"/>
      <c r="S92" s="45"/>
      <c r="T92" s="45"/>
      <c r="U92" s="45"/>
      <c r="V92" s="45"/>
      <c r="W92" s="45"/>
      <c r="X92" s="45"/>
      <c r="Y92" s="45"/>
      <c r="Z92" s="45"/>
      <c r="AA92" s="45"/>
      <c r="AB92" s="45"/>
      <c r="AC92" s="45"/>
      <c r="AD92" s="45"/>
      <c r="AE92" s="45"/>
      <c r="AF92" s="45"/>
      <c r="AG92" s="45"/>
      <c r="AH92" s="49"/>
      <c r="AI92" s="197"/>
      <c r="AJ92" s="467"/>
      <c r="AK92" s="197"/>
      <c r="AL92" s="197"/>
    </row>
    <row r="93" spans="1:69" ht="15" hidden="1" customHeight="1" x14ac:dyDescent="0.25">
      <c r="A93" s="42"/>
      <c r="B93" s="43"/>
      <c r="C93" s="43"/>
      <c r="D93" s="43"/>
      <c r="E93" s="43"/>
      <c r="F93" s="43"/>
      <c r="G93" s="43"/>
      <c r="H93" s="162" t="str">
        <f>IF(D$89&gt;=5,"G5:","")</f>
        <v/>
      </c>
      <c r="I93" s="43"/>
      <c r="J93" s="188"/>
      <c r="K93" s="827"/>
      <c r="L93" s="827"/>
      <c r="M93" s="827"/>
      <c r="N93" s="827"/>
      <c r="O93" s="827"/>
      <c r="P93" s="45"/>
      <c r="Q93" s="45"/>
      <c r="R93" s="45"/>
      <c r="S93" s="45"/>
      <c r="T93" s="45"/>
      <c r="U93" s="45"/>
      <c r="V93" s="45"/>
      <c r="W93" s="45"/>
      <c r="X93" s="45"/>
      <c r="Y93" s="45"/>
      <c r="Z93" s="45"/>
      <c r="AA93" s="45"/>
      <c r="AB93" s="45"/>
      <c r="AC93" s="45"/>
      <c r="AD93" s="45"/>
      <c r="AE93" s="45"/>
      <c r="AF93" s="45"/>
      <c r="AG93" s="45"/>
      <c r="AH93" s="49"/>
      <c r="AI93" s="197"/>
      <c r="AJ93" s="467"/>
      <c r="AK93" s="197"/>
      <c r="AL93" s="197"/>
    </row>
    <row r="94" spans="1:69" ht="36.75" customHeight="1" x14ac:dyDescent="0.25">
      <c r="A94" s="42"/>
      <c r="B94" s="533" t="s">
        <v>1442</v>
      </c>
      <c r="C94" s="43"/>
      <c r="D94" s="43"/>
      <c r="E94" s="43"/>
      <c r="F94" s="43"/>
      <c r="G94" s="43"/>
      <c r="H94" s="829" t="s">
        <v>1443</v>
      </c>
      <c r="I94" s="829"/>
      <c r="J94" s="829"/>
      <c r="K94" s="829"/>
      <c r="L94" s="829"/>
      <c r="M94" s="829"/>
      <c r="N94" s="829"/>
      <c r="O94" s="829"/>
      <c r="P94" s="829"/>
      <c r="Q94" s="829"/>
      <c r="R94" s="829"/>
      <c r="S94" s="829"/>
      <c r="T94" s="829"/>
      <c r="U94" s="829"/>
      <c r="V94" s="829"/>
      <c r="W94" s="829"/>
      <c r="X94" s="829"/>
      <c r="Y94" s="829"/>
      <c r="Z94" s="829"/>
      <c r="AA94" s="829"/>
      <c r="AB94" s="829"/>
      <c r="AC94" s="829"/>
      <c r="AD94" s="829"/>
      <c r="AE94" s="829"/>
      <c r="AF94" s="829"/>
      <c r="AG94" s="829"/>
      <c r="AH94" s="830"/>
      <c r="AI94" s="197"/>
      <c r="AJ94" s="467"/>
      <c r="AK94" s="197"/>
      <c r="AL94" s="197"/>
    </row>
    <row r="95" spans="1:69" ht="15" customHeight="1" x14ac:dyDescent="0.25">
      <c r="A95" s="42"/>
      <c r="B95" s="43" t="s">
        <v>260</v>
      </c>
      <c r="C95" s="43"/>
      <c r="D95" s="43"/>
      <c r="E95" s="43"/>
      <c r="F95" s="43"/>
      <c r="G95" s="43"/>
      <c r="H95" s="823" t="s">
        <v>1444</v>
      </c>
      <c r="I95" s="823"/>
      <c r="J95" s="823"/>
      <c r="K95" s="823"/>
      <c r="L95" s="823"/>
      <c r="M95" s="823"/>
      <c r="N95" s="823"/>
      <c r="O95" s="823"/>
      <c r="P95" s="823"/>
      <c r="Q95" s="823"/>
      <c r="R95" s="823"/>
      <c r="S95" s="823"/>
      <c r="T95" s="823"/>
      <c r="U95" s="823"/>
      <c r="V95" s="823"/>
      <c r="W95" s="823"/>
      <c r="X95" s="823"/>
      <c r="Y95" s="823"/>
      <c r="Z95" s="823"/>
      <c r="AA95" s="823"/>
      <c r="AB95" s="823"/>
      <c r="AC95" s="823"/>
      <c r="AD95" s="823"/>
      <c r="AE95" s="823"/>
      <c r="AF95" s="823"/>
      <c r="AG95" s="823"/>
      <c r="AH95" s="824"/>
      <c r="AI95" s="43"/>
      <c r="AJ95" s="43"/>
      <c r="AK95" s="43"/>
      <c r="AL95" s="43"/>
    </row>
    <row r="96" spans="1:69" s="23" customFormat="1" ht="21" customHeight="1" x14ac:dyDescent="0.25">
      <c r="A96" s="232"/>
      <c r="B96" s="233"/>
      <c r="C96" s="233"/>
      <c r="D96" s="233"/>
      <c r="E96" s="233"/>
      <c r="F96" s="233"/>
      <c r="G96" s="233"/>
      <c r="H96" s="825"/>
      <c r="I96" s="825"/>
      <c r="J96" s="825"/>
      <c r="K96" s="825"/>
      <c r="L96" s="825"/>
      <c r="M96" s="825"/>
      <c r="N96" s="825"/>
      <c r="O96" s="825"/>
      <c r="P96" s="825"/>
      <c r="Q96" s="825"/>
      <c r="R96" s="825"/>
      <c r="S96" s="825"/>
      <c r="T96" s="825"/>
      <c r="U96" s="825"/>
      <c r="V96" s="825"/>
      <c r="W96" s="825"/>
      <c r="X96" s="825"/>
      <c r="Y96" s="825"/>
      <c r="Z96" s="825"/>
      <c r="AA96" s="825"/>
      <c r="AB96" s="825"/>
      <c r="AC96" s="825"/>
      <c r="AD96" s="825"/>
      <c r="AE96" s="825"/>
      <c r="AF96" s="825"/>
      <c r="AG96" s="825"/>
      <c r="AH96" s="826"/>
      <c r="AI96" s="86"/>
      <c r="AJ96" s="86"/>
      <c r="AK96" s="86"/>
      <c r="AL96" s="43"/>
      <c r="AQ96" s="20"/>
      <c r="AR96" s="20"/>
      <c r="AS96" s="20"/>
      <c r="AT96" s="20"/>
      <c r="AW96" s="20"/>
      <c r="AX96" s="20"/>
      <c r="AY96" s="20"/>
      <c r="AZ96" s="20"/>
      <c r="BA96" s="20"/>
      <c r="BB96" s="20"/>
      <c r="BC96" s="20"/>
      <c r="BD96" s="20"/>
      <c r="BE96" s="20"/>
      <c r="BF96" s="20"/>
      <c r="BG96" s="20"/>
      <c r="BH96" s="20"/>
    </row>
    <row r="97" spans="1:46" ht="6"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Q97" s="23"/>
      <c r="AR97" s="23"/>
      <c r="AS97" s="23"/>
      <c r="AT97" s="23"/>
    </row>
    <row r="98" spans="1:46" ht="15" customHeight="1" x14ac:dyDescent="0.25">
      <c r="A98" s="41" t="s">
        <v>150</v>
      </c>
      <c r="B98" s="40"/>
      <c r="C98" s="40"/>
      <c r="D98" s="40"/>
      <c r="E98" s="40"/>
      <c r="F98" s="40"/>
      <c r="G98" s="40"/>
      <c r="H98" s="40" t="s">
        <v>452</v>
      </c>
      <c r="I98" s="6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51"/>
      <c r="AI98" s="43"/>
      <c r="AJ98" s="43"/>
      <c r="AM98" s="20" t="s">
        <v>1165</v>
      </c>
      <c r="AN98" s="43"/>
      <c r="AO98" s="20" t="s">
        <v>151</v>
      </c>
    </row>
    <row r="99" spans="1:46" ht="15" customHeight="1" x14ac:dyDescent="0.25">
      <c r="A99" s="47"/>
      <c r="B99" s="48"/>
      <c r="C99" s="95" t="s">
        <v>454</v>
      </c>
      <c r="D99" s="94"/>
      <c r="E99" s="94"/>
      <c r="F99" s="48"/>
      <c r="G99" s="48"/>
      <c r="H99" s="48" t="s">
        <v>453</v>
      </c>
      <c r="I99" s="39"/>
      <c r="J99" s="48"/>
      <c r="K99" s="94"/>
      <c r="L99" s="94"/>
      <c r="M99" s="48"/>
      <c r="N99" s="48"/>
      <c r="O99" s="94"/>
      <c r="P99" s="48"/>
      <c r="Q99" s="48"/>
      <c r="R99" s="48"/>
      <c r="S99" s="48"/>
      <c r="T99" s="48"/>
      <c r="U99" s="48"/>
      <c r="V99" s="48"/>
      <c r="W99" s="48"/>
      <c r="X99" s="48"/>
      <c r="Y99" s="48"/>
      <c r="Z99" s="48"/>
      <c r="AA99" s="48"/>
      <c r="AB99" s="48"/>
      <c r="AC99" s="48"/>
      <c r="AD99" s="48"/>
      <c r="AE99" s="48"/>
      <c r="AF99" s="48"/>
      <c r="AG99" s="48"/>
      <c r="AH99" s="50"/>
      <c r="AI99" s="43"/>
      <c r="AJ99" s="43"/>
      <c r="AM99" s="43" t="s">
        <v>1166</v>
      </c>
      <c r="AN99" s="43"/>
      <c r="AO99" s="43" t="s">
        <v>1167</v>
      </c>
      <c r="AP99" s="43"/>
    </row>
    <row r="100" spans="1:46" ht="4.5" customHeight="1" x14ac:dyDescent="0.25">
      <c r="A100" s="32"/>
      <c r="B100" s="32"/>
      <c r="C100" s="32"/>
      <c r="D100" s="32"/>
      <c r="E100" s="32"/>
      <c r="F100" s="32"/>
      <c r="G100" s="32"/>
      <c r="H100" s="32"/>
      <c r="I100" s="61"/>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M100" s="43" t="s">
        <v>1168</v>
      </c>
      <c r="AN100" s="43"/>
      <c r="AO100" s="43" t="s">
        <v>442</v>
      </c>
    </row>
    <row r="101" spans="1:46" ht="18" customHeight="1" x14ac:dyDescent="0.25">
      <c r="A101" s="41" t="s">
        <v>148</v>
      </c>
      <c r="B101" s="40"/>
      <c r="C101" s="40"/>
      <c r="D101" s="40"/>
      <c r="E101" s="531">
        <f>IF(H101="Försöket ska inte skördas",0,1)</f>
        <v>1</v>
      </c>
      <c r="F101" s="40"/>
      <c r="G101" s="40"/>
      <c r="H101" s="844" t="s">
        <v>467</v>
      </c>
      <c r="I101" s="844"/>
      <c r="J101" s="844"/>
      <c r="K101" s="844"/>
      <c r="L101" s="844"/>
      <c r="M101" s="844"/>
      <c r="N101" s="844"/>
      <c r="O101" s="844"/>
      <c r="P101" s="844"/>
      <c r="Q101" s="40"/>
      <c r="R101" s="40"/>
      <c r="S101" s="40"/>
      <c r="T101" s="40"/>
      <c r="U101" s="40"/>
      <c r="V101" s="40"/>
      <c r="W101" s="40" t="str">
        <f>VLOOKUP(H101,AM98:AO104,3)</f>
        <v>Standard NIT-analys + tkv</v>
      </c>
      <c r="X101" s="40"/>
      <c r="Y101" s="40"/>
      <c r="Z101" s="40"/>
      <c r="AA101" s="40"/>
      <c r="AB101" s="40"/>
      <c r="AC101" s="40"/>
      <c r="AD101" s="40"/>
      <c r="AE101" s="40"/>
      <c r="AF101" s="40"/>
      <c r="AG101" s="40"/>
      <c r="AH101" s="51"/>
      <c r="AI101" s="43"/>
      <c r="AJ101" s="43"/>
      <c r="AM101" s="43" t="s">
        <v>1169</v>
      </c>
      <c r="AN101" s="32"/>
      <c r="AO101" s="43" t="s">
        <v>1167</v>
      </c>
      <c r="AQ101" s="20" t="s">
        <v>151</v>
      </c>
    </row>
    <row r="102" spans="1:46" ht="34.5" customHeight="1" x14ac:dyDescent="0.25">
      <c r="A102" s="47"/>
      <c r="B102" s="48"/>
      <c r="C102" s="48"/>
      <c r="D102" s="48"/>
      <c r="E102" s="534"/>
      <c r="F102" s="535" t="s">
        <v>1445</v>
      </c>
      <c r="G102" s="48"/>
      <c r="H102" s="825" t="s">
        <v>1446</v>
      </c>
      <c r="I102" s="825"/>
      <c r="J102" s="825"/>
      <c r="K102" s="825"/>
      <c r="L102" s="825"/>
      <c r="M102" s="825"/>
      <c r="N102" s="825"/>
      <c r="O102" s="825"/>
      <c r="P102" s="825"/>
      <c r="Q102" s="825"/>
      <c r="R102" s="825"/>
      <c r="S102" s="825"/>
      <c r="T102" s="825"/>
      <c r="U102" s="825"/>
      <c r="V102" s="825"/>
      <c r="W102" s="825"/>
      <c r="X102" s="825"/>
      <c r="Y102" s="825"/>
      <c r="Z102" s="825"/>
      <c r="AA102" s="825"/>
      <c r="AB102" s="825"/>
      <c r="AC102" s="825"/>
      <c r="AD102" s="825"/>
      <c r="AE102" s="825"/>
      <c r="AF102" s="825"/>
      <c r="AG102" s="825"/>
      <c r="AH102" s="826"/>
      <c r="AI102" s="43"/>
      <c r="AJ102" s="43"/>
      <c r="AM102" s="43"/>
      <c r="AN102" s="32"/>
      <c r="AO102" s="43"/>
    </row>
    <row r="103" spans="1:46" ht="5.2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M103" s="43" t="s">
        <v>467</v>
      </c>
      <c r="AN103" s="43"/>
      <c r="AO103" s="43" t="s">
        <v>442</v>
      </c>
    </row>
    <row r="104" spans="1:46" ht="15" customHeight="1" x14ac:dyDescent="0.25">
      <c r="A104" s="41" t="s">
        <v>207</v>
      </c>
      <c r="B104" s="40"/>
      <c r="C104" s="40"/>
      <c r="D104" s="40"/>
      <c r="E104" s="40"/>
      <c r="F104" s="40"/>
      <c r="G104" s="40"/>
      <c r="H104" s="40" t="s">
        <v>863</v>
      </c>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51"/>
      <c r="AI104" s="43"/>
      <c r="AJ104" s="43"/>
      <c r="AM104" s="43"/>
      <c r="AN104" s="43"/>
    </row>
    <row r="105" spans="1:46" ht="15" customHeight="1" x14ac:dyDescent="0.25">
      <c r="A105" s="42"/>
      <c r="B105" s="43"/>
      <c r="C105" s="43"/>
      <c r="D105" s="43"/>
      <c r="E105" s="43"/>
      <c r="F105" s="43"/>
      <c r="G105" s="43"/>
      <c r="H105" s="93" t="s">
        <v>443</v>
      </c>
      <c r="I105" s="43"/>
      <c r="J105" s="43"/>
      <c r="K105" s="43"/>
      <c r="L105" s="157" t="s">
        <v>208</v>
      </c>
      <c r="M105" s="43"/>
      <c r="N105" s="43"/>
      <c r="O105" s="43"/>
      <c r="P105" s="43"/>
      <c r="Q105" s="43"/>
      <c r="S105" s="43"/>
      <c r="T105" s="43"/>
      <c r="U105" s="43"/>
      <c r="V105" s="43"/>
      <c r="W105" s="43"/>
      <c r="X105" s="43"/>
      <c r="Y105" s="43"/>
      <c r="Z105" s="43"/>
      <c r="AA105" s="43"/>
      <c r="AB105" s="43"/>
      <c r="AC105" s="43"/>
      <c r="AD105" s="43"/>
      <c r="AE105" s="43"/>
      <c r="AF105" s="43"/>
      <c r="AG105" s="43"/>
      <c r="AH105" s="49"/>
      <c r="AI105" s="43"/>
      <c r="AJ105" s="43"/>
      <c r="AM105" s="43"/>
      <c r="AN105" s="43"/>
    </row>
    <row r="106" spans="1:46" ht="2.25" customHeight="1" x14ac:dyDescent="0.25">
      <c r="A106" s="42"/>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9"/>
      <c r="AI106" s="43"/>
      <c r="AJ106" s="43"/>
      <c r="AM106" s="43"/>
      <c r="AN106" s="43" t="s">
        <v>745</v>
      </c>
    </row>
    <row r="107" spans="1:46" ht="15" customHeight="1" x14ac:dyDescent="0.25">
      <c r="A107" s="42"/>
      <c r="B107" s="43"/>
      <c r="C107" s="43"/>
      <c r="D107" s="43"/>
      <c r="E107" s="43"/>
      <c r="F107" s="43"/>
      <c r="G107" s="43"/>
      <c r="H107" s="43" t="s">
        <v>209</v>
      </c>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9"/>
      <c r="AI107" s="43"/>
      <c r="AJ107" s="43"/>
      <c r="AM107" s="20" t="s">
        <v>743</v>
      </c>
      <c r="AN107" s="20" t="s">
        <v>218</v>
      </c>
      <c r="AO107" s="7" t="s">
        <v>747</v>
      </c>
      <c r="AP107" s="7"/>
      <c r="AQ107" s="20" t="s">
        <v>214</v>
      </c>
      <c r="AT107" s="20" t="s">
        <v>215</v>
      </c>
    </row>
    <row r="108" spans="1:46" ht="15" customHeight="1" x14ac:dyDescent="0.25">
      <c r="A108" s="42"/>
      <c r="B108" s="43"/>
      <c r="C108" s="43"/>
      <c r="D108" s="43"/>
      <c r="E108" s="43"/>
      <c r="F108" s="43"/>
      <c r="G108" s="43"/>
      <c r="H108" s="827" t="s">
        <v>741</v>
      </c>
      <c r="I108" s="827"/>
      <c r="J108" s="827"/>
      <c r="K108" s="827"/>
      <c r="L108" s="827"/>
      <c r="M108" s="827"/>
      <c r="N108" s="43" t="s">
        <v>744</v>
      </c>
      <c r="P108" s="43"/>
      <c r="Q108" s="43"/>
      <c r="R108" s="43"/>
      <c r="S108" s="43"/>
      <c r="T108" s="43"/>
      <c r="U108" s="43"/>
      <c r="V108" s="43"/>
      <c r="W108" s="43"/>
      <c r="X108" s="43"/>
      <c r="Y108" s="43"/>
      <c r="Z108" s="43"/>
      <c r="AA108" s="43"/>
      <c r="AB108" s="43"/>
      <c r="AC108" s="43"/>
      <c r="AD108" s="43"/>
      <c r="AE108" s="43"/>
      <c r="AF108" s="43"/>
      <c r="AG108" s="43"/>
      <c r="AH108" s="49"/>
      <c r="AI108" s="43"/>
      <c r="AJ108" s="43"/>
      <c r="AM108" s="20" t="s">
        <v>742</v>
      </c>
      <c r="AN108" s="20" t="s">
        <v>874</v>
      </c>
      <c r="AO108" s="7" t="s">
        <v>875</v>
      </c>
      <c r="AP108" s="7"/>
      <c r="AQ108" s="20" t="s">
        <v>214</v>
      </c>
      <c r="AT108" s="20" t="s">
        <v>215</v>
      </c>
    </row>
    <row r="109" spans="1:46" ht="15" customHeight="1" x14ac:dyDescent="0.25">
      <c r="A109" s="42"/>
      <c r="B109" s="43"/>
      <c r="C109" s="43"/>
      <c r="D109" s="43"/>
      <c r="E109" s="43"/>
      <c r="F109" s="43"/>
      <c r="G109" s="43"/>
      <c r="H109" s="43" t="s">
        <v>210</v>
      </c>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9"/>
      <c r="AI109" s="43"/>
      <c r="AJ109" s="43"/>
      <c r="AM109" s="20" t="s">
        <v>741</v>
      </c>
      <c r="AN109" s="20" t="s">
        <v>1171</v>
      </c>
      <c r="AO109" s="7" t="s">
        <v>22</v>
      </c>
      <c r="AP109" s="7"/>
      <c r="AQ109" s="20" t="s">
        <v>217</v>
      </c>
      <c r="AT109" s="20" t="s">
        <v>218</v>
      </c>
    </row>
    <row r="110" spans="1:46" ht="15" customHeight="1" x14ac:dyDescent="0.25">
      <c r="A110" s="47"/>
      <c r="B110" s="48"/>
      <c r="C110" s="48"/>
      <c r="D110" s="48"/>
      <c r="E110" s="48"/>
      <c r="F110" s="48"/>
      <c r="G110" s="48"/>
      <c r="H110" s="48" t="s">
        <v>211</v>
      </c>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50"/>
      <c r="AI110" s="43"/>
      <c r="AJ110" s="43"/>
      <c r="AK110" s="43"/>
      <c r="AL110" s="43"/>
    </row>
    <row r="111" spans="1:46" ht="5.2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row>
    <row r="112" spans="1:46" ht="20.25" customHeight="1" x14ac:dyDescent="0.25">
      <c r="A112" s="54" t="s">
        <v>996</v>
      </c>
      <c r="B112" s="55"/>
      <c r="C112" s="55"/>
      <c r="D112" s="55"/>
      <c r="E112" s="55"/>
      <c r="F112" s="55"/>
      <c r="G112" s="55"/>
      <c r="H112" s="55" t="s">
        <v>997</v>
      </c>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6"/>
      <c r="AI112" s="32"/>
      <c r="AJ112" s="32"/>
      <c r="AK112" s="32"/>
      <c r="AL112" s="32"/>
    </row>
    <row r="113" spans="1:38" ht="4.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row>
    <row r="114" spans="1:38" ht="15" customHeight="1" x14ac:dyDescent="0.25">
      <c r="A114" s="41" t="s">
        <v>212</v>
      </c>
      <c r="B114" s="40"/>
      <c r="C114" s="40"/>
      <c r="D114" s="40"/>
      <c r="E114" s="40"/>
      <c r="F114" s="40"/>
      <c r="G114" s="40"/>
      <c r="H114" s="40" t="s">
        <v>213</v>
      </c>
      <c r="I114" s="40"/>
      <c r="J114" s="40"/>
      <c r="K114" s="40"/>
      <c r="L114" s="40"/>
      <c r="M114" s="844" t="s">
        <v>741</v>
      </c>
      <c r="N114" s="844"/>
      <c r="O114" s="844"/>
      <c r="P114" s="844"/>
      <c r="Q114" s="844"/>
      <c r="R114" s="844"/>
      <c r="S114" s="40"/>
      <c r="T114" s="40"/>
      <c r="U114" s="40"/>
      <c r="V114" s="40"/>
      <c r="W114" s="40"/>
      <c r="X114" s="40"/>
      <c r="Y114" s="40"/>
      <c r="Z114" s="40"/>
      <c r="AA114" s="40" t="str">
        <f>VLOOKUP($M$114,AM$107:AT$109,2)</f>
        <v>0708-16 10 74</v>
      </c>
      <c r="AB114" s="40"/>
      <c r="AC114" s="40"/>
      <c r="AD114" s="40"/>
      <c r="AE114" s="40"/>
      <c r="AF114" s="40"/>
      <c r="AG114" s="40"/>
      <c r="AH114" s="51"/>
      <c r="AI114" s="43"/>
      <c r="AJ114" s="43"/>
      <c r="AK114" s="43"/>
      <c r="AL114" s="43"/>
    </row>
    <row r="115" spans="1:38" x14ac:dyDescent="0.25">
      <c r="A115" s="47"/>
      <c r="B115" s="48"/>
      <c r="C115" s="48"/>
      <c r="D115" s="48"/>
      <c r="E115" s="48"/>
      <c r="F115" s="48"/>
      <c r="G115" s="48"/>
      <c r="H115" s="48" t="s">
        <v>216</v>
      </c>
      <c r="I115" s="48"/>
      <c r="J115" s="48"/>
      <c r="K115" s="48"/>
      <c r="L115" s="48"/>
      <c r="M115" s="837" t="s">
        <v>743</v>
      </c>
      <c r="N115" s="837"/>
      <c r="O115" s="837"/>
      <c r="P115" s="837"/>
      <c r="Q115" s="837"/>
      <c r="R115" s="837"/>
      <c r="S115" s="48"/>
      <c r="T115" s="48"/>
      <c r="U115" s="48"/>
      <c r="V115" s="48"/>
      <c r="W115" s="48"/>
      <c r="X115" s="48"/>
      <c r="Y115" s="48"/>
      <c r="Z115" s="48"/>
      <c r="AA115" s="48" t="str">
        <f>VLOOKUP($M$115,AM$107:AT$109,2)</f>
        <v>046-71 36 79</v>
      </c>
      <c r="AB115" s="48"/>
      <c r="AC115" s="48"/>
      <c r="AD115" s="48"/>
      <c r="AE115" s="48"/>
      <c r="AF115" s="48"/>
      <c r="AG115" s="48"/>
      <c r="AH115" s="50"/>
      <c r="AI115" s="43"/>
      <c r="AJ115" s="43"/>
      <c r="AK115" s="43"/>
      <c r="AL115" s="43"/>
    </row>
    <row r="116" spans="1:38" ht="6" customHeight="1" x14ac:dyDescent="0.25"/>
    <row r="117" spans="1:38" x14ac:dyDescent="0.25">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row>
    <row r="118" spans="1:38" x14ac:dyDescent="0.25">
      <c r="B118" s="328"/>
      <c r="C118" s="328"/>
      <c r="D118" s="328"/>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row>
    <row r="119" spans="1:38" x14ac:dyDescent="0.25">
      <c r="B119" s="328"/>
      <c r="C119" s="328"/>
      <c r="D119" s="328"/>
      <c r="E119" s="328"/>
      <c r="F119" s="328"/>
      <c r="G119" s="328"/>
      <c r="H119" s="328"/>
      <c r="I119" s="328"/>
      <c r="J119" s="328"/>
      <c r="K119" s="328"/>
      <c r="L119" s="328"/>
      <c r="M119" s="328"/>
      <c r="N119" s="328"/>
      <c r="O119" s="328"/>
      <c r="P119" s="328"/>
      <c r="Q119" s="328"/>
      <c r="R119" s="328"/>
      <c r="S119" s="328"/>
      <c r="T119" s="328"/>
      <c r="U119" s="328"/>
      <c r="V119" s="328"/>
      <c r="W119" s="328"/>
      <c r="X119" s="328"/>
      <c r="Y119" s="328"/>
      <c r="Z119" s="328"/>
    </row>
    <row r="120" spans="1:38" x14ac:dyDescent="0.25">
      <c r="B120" s="328"/>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row>
    <row r="121" spans="1:38" x14ac:dyDescent="0.25">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row>
    <row r="122" spans="1:38" x14ac:dyDescent="0.25">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row>
    <row r="123" spans="1:38" x14ac:dyDescent="0.25">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row>
    <row r="124" spans="1:38" x14ac:dyDescent="0.25">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row>
  </sheetData>
  <sheetProtection password="998F" sheet="1" objects="1" scenarios="1" formatRows="0"/>
  <sortState ref="AR12:AR16">
    <sortCondition ref="AR12"/>
  </sortState>
  <mergeCells count="76">
    <mergeCell ref="AG16:AH16"/>
    <mergeCell ref="K92:O92"/>
    <mergeCell ref="K93:O93"/>
    <mergeCell ref="AG17:AH17"/>
    <mergeCell ref="H61:AH61"/>
    <mergeCell ref="K71:T71"/>
    <mergeCell ref="R45:S45"/>
    <mergeCell ref="K70:T70"/>
    <mergeCell ref="U16:AA16"/>
    <mergeCell ref="U75:W75"/>
    <mergeCell ref="X75:Z75"/>
    <mergeCell ref="K75:T75"/>
    <mergeCell ref="K82:O82"/>
    <mergeCell ref="K81:O81"/>
    <mergeCell ref="H51:AH52"/>
    <mergeCell ref="U14:AA14"/>
    <mergeCell ref="U15:AA15"/>
    <mergeCell ref="AF9:AH9"/>
    <mergeCell ref="U74:W74"/>
    <mergeCell ref="U72:W72"/>
    <mergeCell ref="X72:Z72"/>
    <mergeCell ref="X74:Z74"/>
    <mergeCell ref="H67:AH67"/>
    <mergeCell ref="X70:Z70"/>
    <mergeCell ref="AA72:AC72"/>
    <mergeCell ref="K72:T72"/>
    <mergeCell ref="S44:T44"/>
    <mergeCell ref="V44:W44"/>
    <mergeCell ref="AG14:AH14"/>
    <mergeCell ref="AG15:AH15"/>
    <mergeCell ref="K74:T74"/>
    <mergeCell ref="M115:R115"/>
    <mergeCell ref="AA74:AC74"/>
    <mergeCell ref="AD74:AF74"/>
    <mergeCell ref="O1:Y1"/>
    <mergeCell ref="H76:AH78"/>
    <mergeCell ref="X71:Z71"/>
    <mergeCell ref="AA71:AC71"/>
    <mergeCell ref="AD71:AF71"/>
    <mergeCell ref="G2:J2"/>
    <mergeCell ref="H60:AH60"/>
    <mergeCell ref="H59:AH59"/>
    <mergeCell ref="M114:R114"/>
    <mergeCell ref="H101:P101"/>
    <mergeCell ref="AD72:AF72"/>
    <mergeCell ref="AE2:AH2"/>
    <mergeCell ref="AC5:AH5"/>
    <mergeCell ref="AF6:AH6"/>
    <mergeCell ref="U73:W73"/>
    <mergeCell ref="AA70:AC70"/>
    <mergeCell ref="AD70:AF70"/>
    <mergeCell ref="X73:Z73"/>
    <mergeCell ref="AA73:AC73"/>
    <mergeCell ref="AD73:AF73"/>
    <mergeCell ref="U70:W70"/>
    <mergeCell ref="U71:W71"/>
    <mergeCell ref="X45:Y45"/>
    <mergeCell ref="T45:U45"/>
    <mergeCell ref="AF7:AH7"/>
    <mergeCell ref="AF8:AH8"/>
    <mergeCell ref="L10:T10"/>
    <mergeCell ref="K73:T73"/>
    <mergeCell ref="H48:K48"/>
    <mergeCell ref="H95:AH96"/>
    <mergeCell ref="H102:AH102"/>
    <mergeCell ref="H108:M108"/>
    <mergeCell ref="AA75:AC75"/>
    <mergeCell ref="AD75:AF75"/>
    <mergeCell ref="K83:O83"/>
    <mergeCell ref="K84:O84"/>
    <mergeCell ref="K85:O85"/>
    <mergeCell ref="K86:O86"/>
    <mergeCell ref="K89:O89"/>
    <mergeCell ref="K90:O90"/>
    <mergeCell ref="K91:O91"/>
    <mergeCell ref="H94:AH94"/>
  </mergeCells>
  <phoneticPr fontId="29" type="noConversion"/>
  <conditionalFormatting sqref="D89">
    <cfRule type="cellIs" dxfId="169" priority="30" operator="greaterThan">
      <formula>0</formula>
    </cfRule>
  </conditionalFormatting>
  <conditionalFormatting sqref="A63:AH65">
    <cfRule type="expression" dxfId="168" priority="78">
      <formula>$AF$9=0</formula>
    </cfRule>
  </conditionalFormatting>
  <conditionalFormatting sqref="AC5:AH5">
    <cfRule type="cellIs" dxfId="167" priority="23" operator="equal">
      <formula>0</formula>
    </cfRule>
  </conditionalFormatting>
  <conditionalFormatting sqref="D70">
    <cfRule type="cellIs" dxfId="166" priority="19" operator="greaterThan">
      <formula>0</formula>
    </cfRule>
  </conditionalFormatting>
  <conditionalFormatting sqref="T89:T93">
    <cfRule type="cellIs" dxfId="165" priority="18" operator="equal">
      <formula>0</formula>
    </cfRule>
  </conditionalFormatting>
  <conditionalFormatting sqref="AG17:AH17">
    <cfRule type="cellIs" dxfId="164" priority="13" operator="equal">
      <formula>0</formula>
    </cfRule>
  </conditionalFormatting>
  <conditionalFormatting sqref="Q14:Q16">
    <cfRule type="cellIs" dxfId="163" priority="12" operator="equal">
      <formula>0</formula>
    </cfRule>
  </conditionalFormatting>
  <conditionalFormatting sqref="O21:O37">
    <cfRule type="expression" dxfId="162" priority="10">
      <formula>IF(AND(ISBLANK(O21),$AF$9&gt;1),1,0)</formula>
    </cfRule>
  </conditionalFormatting>
  <conditionalFormatting sqref="P19">
    <cfRule type="expression" dxfId="161" priority="8">
      <formula>IF(AND(ISBLANK(P19),$AF$9&gt;1),1,0)</formula>
    </cfRule>
  </conditionalFormatting>
  <conditionalFormatting sqref="Y21:Y37">
    <cfRule type="expression" dxfId="160" priority="7">
      <formula>IF(AND(ISBLANK(Y21),$AF$9&gt;2),1,0)</formula>
    </cfRule>
  </conditionalFormatting>
  <conditionalFormatting sqref="Z19">
    <cfRule type="expression" dxfId="159" priority="6">
      <formula>IF(AND(ISBLANK(Z19),$AF$9&gt;2),1,0)</formula>
    </cfRule>
  </conditionalFormatting>
  <conditionalFormatting sqref="D40">
    <cfRule type="expression" dxfId="158" priority="5">
      <formula>IF(AND(ISBLANK(D40),$AF$9&gt;1),1,0)</formula>
    </cfRule>
  </conditionalFormatting>
  <conditionalFormatting sqref="U39">
    <cfRule type="expression" dxfId="157" priority="4">
      <formula>IF(AND(ISBLANK(U39),$AF$9&gt;2),1,0)</formula>
    </cfRule>
  </conditionalFormatting>
  <conditionalFormatting sqref="E80">
    <cfRule type="cellIs" dxfId="156" priority="3" operator="greaterThan">
      <formula>0</formula>
    </cfRule>
  </conditionalFormatting>
  <conditionalFormatting sqref="U6">
    <cfRule type="cellIs" dxfId="155" priority="1" operator="equal">
      <formula>0</formula>
    </cfRule>
  </conditionalFormatting>
  <dataValidations count="12">
    <dataValidation type="list" allowBlank="1" showInputMessage="1" showErrorMessage="1" sqref="H59:AH59 H61:AH61">
      <formula1>$AN$58:$AN$59</formula1>
    </dataValidation>
    <dataValidation type="list" allowBlank="1" showInputMessage="1" showErrorMessage="1" sqref="AF7:AH7">
      <formula1>$AL$2:$AL$16</formula1>
    </dataValidation>
    <dataValidation type="list" allowBlank="1" showInputMessage="1" showErrorMessage="1" sqref="AF8:AH8">
      <formula1>$AM$28:$AM$29</formula1>
    </dataValidation>
    <dataValidation type="list" allowBlank="1" showInputMessage="1" showErrorMessage="1" sqref="U14:U16">
      <formula1>$AQ$1:$AQ$10</formula1>
    </dataValidation>
    <dataValidation type="list" allowBlank="1" showInputMessage="1" showErrorMessage="1" sqref="L10:T10">
      <formula1>$AO$1:$AO$32</formula1>
    </dataValidation>
    <dataValidation type="list" allowBlank="1" showInputMessage="1" showErrorMessage="1" sqref="J88 K70:K75">
      <formula1>$AU$4:$AU$17</formula1>
    </dataValidation>
    <dataValidation type="list" allowBlank="1" showInputMessage="1" showErrorMessage="1" sqref="O1">
      <formula1>$AM$17:$AM$18</formula1>
    </dataValidation>
    <dataValidation type="list" allowBlank="1" showInputMessage="1" showErrorMessage="1" sqref="H101:P101">
      <formula1>$AM$98:$AM$104</formula1>
    </dataValidation>
    <dataValidation type="list" allowBlank="1" showInputMessage="1" showErrorMessage="1" sqref="H108:M108 M114:R115">
      <formula1>$AM$107:$AM$109</formula1>
    </dataValidation>
    <dataValidation type="list" allowBlank="1" showInputMessage="1" showErrorMessage="1" sqref="U70:AF75">
      <formula1>$AL$55:$AL$66</formula1>
    </dataValidation>
    <dataValidation type="list" allowBlank="1" showInputMessage="1" showErrorMessage="1" sqref="J70:J75 J81:J86 J89:J93">
      <formula1>$AU$20:$AU$22</formula1>
    </dataValidation>
    <dataValidation type="list" allowBlank="1" showInputMessage="1" showErrorMessage="1" sqref="K81:K86 K89:K93">
      <formula1>$AJ$80:$AJ$94</formula1>
    </dataValidation>
  </dataValidations>
  <hyperlinks>
    <hyperlink ref="H105" r:id="rId1" display="www.husec.se"/>
  </hyperlinks>
  <pageMargins left="0.59055118110236227" right="0.39370078740157483" top="0.56999999999999995" bottom="0.44" header="0.3" footer="0.2"/>
  <pageSetup paperSize="9" orientation="portrait" horizontalDpi="1200" verticalDpi="1200" r:id="rId2"/>
  <headerFooter alignWithMargins="0">
    <oddHeader>&amp;R&amp;8PM sid &amp;P/&amp;N</oddHeader>
  </headerFooter>
  <rowBreaks count="1" manualBreakCount="1">
    <brk id="68" max="3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CT98"/>
  <sheetViews>
    <sheetView topLeftCell="D1" zoomScaleNormal="100" workbookViewId="0">
      <selection activeCell="H22" sqref="H22"/>
    </sheetView>
  </sheetViews>
  <sheetFormatPr defaultRowHeight="12.75" x14ac:dyDescent="0.2"/>
  <cols>
    <col min="1" max="1" width="9.140625" style="7" hidden="1" customWidth="1"/>
    <col min="2" max="3" width="12.5703125" style="7" hidden="1" customWidth="1"/>
    <col min="4" max="5" width="6" style="7" customWidth="1"/>
    <col min="6" max="6" width="10.85546875" style="29" customWidth="1"/>
    <col min="7" max="9" width="9.140625" style="29" customWidth="1"/>
    <col min="10" max="10" width="3.42578125" style="7" hidden="1" customWidth="1"/>
    <col min="11" max="11" width="3" style="7" hidden="1" customWidth="1"/>
    <col min="12" max="12" width="4" style="7" hidden="1" customWidth="1"/>
    <col min="13" max="14" width="9.140625" style="7" hidden="1" customWidth="1"/>
    <col min="15" max="15" width="4.140625" style="7" hidden="1" customWidth="1"/>
    <col min="16" max="16" width="4.28515625" style="7" hidden="1" customWidth="1"/>
    <col min="17" max="17" width="4.5703125" style="7" hidden="1" customWidth="1"/>
    <col min="18" max="18" width="4.42578125" style="7" hidden="1" customWidth="1"/>
    <col min="19" max="55" width="3.42578125" style="7" hidden="1" customWidth="1"/>
    <col min="56" max="95" width="2.7109375" style="7" hidden="1" customWidth="1"/>
    <col min="96" max="97" width="9.140625" style="7" hidden="1" customWidth="1"/>
    <col min="98" max="98" width="0" style="7" hidden="1" customWidth="1"/>
    <col min="99" max="16384" width="9.140625" style="7"/>
  </cols>
  <sheetData>
    <row r="1" spans="1:98" x14ac:dyDescent="0.2">
      <c r="D1" s="7" t="s">
        <v>166</v>
      </c>
      <c r="E1" s="7" t="s">
        <v>158</v>
      </c>
      <c r="F1" s="29" t="s">
        <v>165</v>
      </c>
      <c r="G1" s="29" t="str">
        <f>PM!Q14</f>
        <v>HUG065</v>
      </c>
      <c r="H1" s="29" t="str">
        <f>PM!Q15</f>
        <v>HUG066</v>
      </c>
      <c r="I1" s="29" t="str">
        <f>PM!Q16</f>
        <v xml:space="preserve"> </v>
      </c>
      <c r="M1" s="7" t="str">
        <f>Fältkort!H91</f>
        <v>HUG066</v>
      </c>
      <c r="O1" s="7" t="s">
        <v>164</v>
      </c>
      <c r="Q1" s="7">
        <f>COUNT(F2:F81)/4</f>
        <v>7</v>
      </c>
    </row>
    <row r="2" spans="1:98" x14ac:dyDescent="0.2">
      <c r="A2" s="7">
        <f>IF(OR(L2=1,L2=2,L2=3,L2=4),CONCATENATE("Ob",L2),0)</f>
        <v>0</v>
      </c>
      <c r="B2" s="7">
        <f t="shared" ref="B2:B33" si="0">IF(E2&gt;3,Q$1-(4*Q$1-D2),IF(E2&gt;2,Q$1-(3*Q$1-D2),IF(E2&gt;1,Q$1-(2*Q$1-D2),D2)))</f>
        <v>1</v>
      </c>
      <c r="C2" s="7">
        <f>E2*100+B2</f>
        <v>101</v>
      </c>
      <c r="D2" s="822">
        <f>IF(ISNUMBER(F2),1,"")</f>
        <v>1</v>
      </c>
      <c r="E2" s="822">
        <f t="shared" ref="E2:E33" si="1">IF(ISNUMBER(D2),ROUNDUP(D2/Q$1,0),"")</f>
        <v>1</v>
      </c>
      <c r="F2" s="820">
        <f>IF(ISNUMBER(HLOOKUP(M$1,G$1:I$81,J2,0)),HLOOKUP(M$1,G$1:I$81,J2,0),"")</f>
        <v>7</v>
      </c>
      <c r="G2" s="821">
        <v>1</v>
      </c>
      <c r="H2" s="821">
        <v>7</v>
      </c>
      <c r="I2" s="524"/>
      <c r="J2" s="523">
        <v>2</v>
      </c>
      <c r="K2" s="29" t="str">
        <f>VLOOKUP(F2,AG$3:AH$19,2)</f>
        <v>G</v>
      </c>
      <c r="L2" s="7" t="str">
        <f>IF(AND(E2=1,F2=$Q$94),1,IF(AND(E2=2,F2=$Q$94),2,IF(AND(E2=3,F2=$Q$94),3,IF(AND(E2=4,F2=$Q$94),4,""))))</f>
        <v/>
      </c>
      <c r="CR2" s="7">
        <f>IF(F2&lt;10,0,"")</f>
        <v>0</v>
      </c>
      <c r="CS2" s="7" t="str">
        <f>IF(ISNUMBER(D2),CONCATENATE(E2,"-",CR2,F2),"")</f>
        <v>1-07</v>
      </c>
      <c r="CT2" s="458">
        <v>2</v>
      </c>
    </row>
    <row r="3" spans="1:98" x14ac:dyDescent="0.2">
      <c r="A3" s="7">
        <f t="shared" ref="A3:A66" si="2">IF(OR(L3=1,L3=2,L3=3,L3=4),CONCATENATE("Ob",L3),0)</f>
        <v>0</v>
      </c>
      <c r="B3" s="7">
        <f t="shared" si="0"/>
        <v>2</v>
      </c>
      <c r="C3" s="7">
        <f t="shared" ref="C3:C66" si="3">E3*100+B3</f>
        <v>102</v>
      </c>
      <c r="D3" s="822">
        <f>IF(ISNUMBER(F3),1+D2,"")</f>
        <v>2</v>
      </c>
      <c r="E3" s="822">
        <f t="shared" si="1"/>
        <v>1</v>
      </c>
      <c r="F3" s="820">
        <f t="shared" ref="F3:F66" si="4">IF(ISNUMBER(HLOOKUP(M$1,G$1:I$81,J3,0)),HLOOKUP(M$1,G$1:I$81,J3,0),"")</f>
        <v>4</v>
      </c>
      <c r="G3" s="821">
        <v>3</v>
      </c>
      <c r="H3" s="821">
        <v>4</v>
      </c>
      <c r="I3" s="524"/>
      <c r="J3" s="523">
        <v>3</v>
      </c>
      <c r="K3" s="29" t="str">
        <f t="shared" ref="K3:K66" si="5">VLOOKUP(F3,AG$3:AH$19,2)</f>
        <v>D</v>
      </c>
      <c r="L3" s="7" t="str">
        <f t="shared" ref="L3:L65" si="6">IF(AND(E3=1,F3=$Q$94),1,IF(AND(E3=2,F3=$Q$94),2,IF(AND(E3=3,F3=$Q$94),3,IF(AND(E3=4,F3=$Q$94),4,""))))</f>
        <v/>
      </c>
      <c r="O3" s="7">
        <v>101</v>
      </c>
      <c r="P3" s="7">
        <v>201</v>
      </c>
      <c r="Q3" s="7">
        <v>301</v>
      </c>
      <c r="R3" s="7">
        <v>401</v>
      </c>
      <c r="S3" s="7">
        <f>VLOOKUP(O3,$C$2:$F$81,4,1)</f>
        <v>7</v>
      </c>
      <c r="T3" s="7">
        <f>VLOOKUP(P3,$C$2:$F$81,4,1)</f>
        <v>3</v>
      </c>
      <c r="U3" s="7">
        <f t="shared" ref="U3:V18" si="7">VLOOKUP(Q3,$C$2:$F$81,4,1)</f>
        <v>1</v>
      </c>
      <c r="V3" s="7">
        <f t="shared" si="7"/>
        <v>5</v>
      </c>
      <c r="Y3" s="7">
        <f>S3</f>
        <v>7</v>
      </c>
      <c r="Z3" s="7">
        <f>T3</f>
        <v>3</v>
      </c>
      <c r="AA3" s="7">
        <f>U3</f>
        <v>1</v>
      </c>
      <c r="AB3" s="7">
        <f>V3</f>
        <v>5</v>
      </c>
      <c r="AG3" s="7">
        <v>1</v>
      </c>
      <c r="AH3" s="7" t="s">
        <v>1405</v>
      </c>
      <c r="CR3" s="7">
        <f t="shared" ref="CR3:CR66" si="8">IF(F3&lt;10,0,"")</f>
        <v>0</v>
      </c>
      <c r="CS3" s="7" t="str">
        <f t="shared" ref="CS3:CS66" si="9">IF(ISNUMBER(D3),CONCATENATE(E3,"-",CR3,F3),"")</f>
        <v>1-04</v>
      </c>
      <c r="CT3" s="458">
        <v>3</v>
      </c>
    </row>
    <row r="4" spans="1:98" x14ac:dyDescent="0.2">
      <c r="A4" s="7">
        <f t="shared" si="2"/>
        <v>0</v>
      </c>
      <c r="B4" s="7">
        <f t="shared" si="0"/>
        <v>3</v>
      </c>
      <c r="C4" s="7">
        <f t="shared" si="3"/>
        <v>103</v>
      </c>
      <c r="D4" s="822">
        <f t="shared" ref="D4:D67" si="10">IF(ISNUMBER(F4),1+D3,"")</f>
        <v>3</v>
      </c>
      <c r="E4" s="822">
        <f t="shared" si="1"/>
        <v>1</v>
      </c>
      <c r="F4" s="820">
        <f t="shared" si="4"/>
        <v>3</v>
      </c>
      <c r="G4" s="821">
        <v>2</v>
      </c>
      <c r="H4" s="821">
        <v>3</v>
      </c>
      <c r="I4" s="524"/>
      <c r="J4" s="523">
        <v>4</v>
      </c>
      <c r="K4" s="29" t="str">
        <f t="shared" si="5"/>
        <v>C</v>
      </c>
      <c r="L4" s="7" t="str">
        <f t="shared" si="6"/>
        <v/>
      </c>
      <c r="O4" s="7">
        <v>102</v>
      </c>
      <c r="P4" s="7">
        <v>202</v>
      </c>
      <c r="Q4" s="7">
        <v>302</v>
      </c>
      <c r="R4" s="7">
        <v>402</v>
      </c>
      <c r="S4" s="7">
        <f t="shared" ref="S4:S22" si="11">VLOOKUP(O4,$C$2:$F$81,4,1)</f>
        <v>4</v>
      </c>
      <c r="T4" s="7">
        <f t="shared" ref="T4:T22" si="12">VLOOKUP(P4,$C$2:$F$81,4,1)</f>
        <v>6</v>
      </c>
      <c r="U4" s="7">
        <f t="shared" si="7"/>
        <v>2</v>
      </c>
      <c r="V4" s="7">
        <f t="shared" si="7"/>
        <v>7</v>
      </c>
      <c r="Y4" s="7">
        <f>IF(S4=S3,"",S4)</f>
        <v>4</v>
      </c>
      <c r="Z4" s="7">
        <f t="shared" ref="Z4:AB19" si="13">IF(T4=T3,"",T4)</f>
        <v>6</v>
      </c>
      <c r="AA4" s="7">
        <f t="shared" si="13"/>
        <v>2</v>
      </c>
      <c r="AB4" s="7">
        <f t="shared" si="13"/>
        <v>7</v>
      </c>
      <c r="AG4" s="7">
        <v>2</v>
      </c>
      <c r="AH4" s="7" t="s">
        <v>1406</v>
      </c>
      <c r="CR4" s="7">
        <f t="shared" si="8"/>
        <v>0</v>
      </c>
      <c r="CS4" s="7" t="str">
        <f t="shared" si="9"/>
        <v>1-03</v>
      </c>
      <c r="CT4" s="458">
        <v>4</v>
      </c>
    </row>
    <row r="5" spans="1:98" x14ac:dyDescent="0.2">
      <c r="A5" s="7" t="str">
        <f t="shared" si="2"/>
        <v>Ob1</v>
      </c>
      <c r="B5" s="7">
        <f t="shared" si="0"/>
        <v>4</v>
      </c>
      <c r="C5" s="7">
        <f t="shared" si="3"/>
        <v>104</v>
      </c>
      <c r="D5" s="822">
        <f t="shared" si="10"/>
        <v>4</v>
      </c>
      <c r="E5" s="822">
        <f t="shared" si="1"/>
        <v>1</v>
      </c>
      <c r="F5" s="820">
        <f t="shared" si="4"/>
        <v>1</v>
      </c>
      <c r="G5" s="821">
        <v>6</v>
      </c>
      <c r="H5" s="821">
        <v>1</v>
      </c>
      <c r="I5" s="524"/>
      <c r="J5" s="523">
        <v>5</v>
      </c>
      <c r="K5" s="29" t="str">
        <f t="shared" si="5"/>
        <v>A</v>
      </c>
      <c r="L5" s="7">
        <f t="shared" si="6"/>
        <v>1</v>
      </c>
      <c r="O5" s="7">
        <v>103</v>
      </c>
      <c r="P5" s="7">
        <v>203</v>
      </c>
      <c r="Q5" s="7">
        <v>303</v>
      </c>
      <c r="R5" s="7">
        <v>403</v>
      </c>
      <c r="S5" s="7">
        <f t="shared" si="11"/>
        <v>3</v>
      </c>
      <c r="T5" s="7">
        <f t="shared" si="12"/>
        <v>2</v>
      </c>
      <c r="U5" s="7">
        <f t="shared" si="7"/>
        <v>6</v>
      </c>
      <c r="V5" s="7">
        <f t="shared" si="7"/>
        <v>1</v>
      </c>
      <c r="Y5" s="7">
        <f t="shared" ref="Y5:Y22" si="14">IF(S5=S4,"",S5)</f>
        <v>3</v>
      </c>
      <c r="Z5" s="7">
        <f t="shared" si="13"/>
        <v>2</v>
      </c>
      <c r="AA5" s="7">
        <f t="shared" si="13"/>
        <v>6</v>
      </c>
      <c r="AB5" s="7">
        <f t="shared" si="13"/>
        <v>1</v>
      </c>
      <c r="AG5" s="7">
        <v>3</v>
      </c>
      <c r="AH5" s="7" t="s">
        <v>315</v>
      </c>
      <c r="CR5" s="7">
        <f t="shared" si="8"/>
        <v>0</v>
      </c>
      <c r="CS5" s="7" t="str">
        <f t="shared" si="9"/>
        <v>1-01</v>
      </c>
      <c r="CT5" s="458">
        <v>5</v>
      </c>
    </row>
    <row r="6" spans="1:98" x14ac:dyDescent="0.2">
      <c r="A6" s="7">
        <f t="shared" si="2"/>
        <v>0</v>
      </c>
      <c r="B6" s="7">
        <f t="shared" si="0"/>
        <v>5</v>
      </c>
      <c r="C6" s="7">
        <f t="shared" si="3"/>
        <v>105</v>
      </c>
      <c r="D6" s="822">
        <f t="shared" si="10"/>
        <v>5</v>
      </c>
      <c r="E6" s="822">
        <f t="shared" si="1"/>
        <v>1</v>
      </c>
      <c r="F6" s="820">
        <f t="shared" si="4"/>
        <v>3</v>
      </c>
      <c r="G6" s="821">
        <v>4</v>
      </c>
      <c r="H6" s="821">
        <v>3</v>
      </c>
      <c r="I6" s="524"/>
      <c r="J6" s="523">
        <v>6</v>
      </c>
      <c r="K6" s="29" t="str">
        <f t="shared" si="5"/>
        <v>C</v>
      </c>
      <c r="L6" s="7" t="str">
        <f t="shared" si="6"/>
        <v/>
      </c>
      <c r="O6" s="7">
        <v>104</v>
      </c>
      <c r="P6" s="7">
        <v>204</v>
      </c>
      <c r="Q6" s="7">
        <v>304</v>
      </c>
      <c r="R6" s="7">
        <v>404</v>
      </c>
      <c r="S6" s="7">
        <f t="shared" si="11"/>
        <v>1</v>
      </c>
      <c r="T6" s="7">
        <f t="shared" si="12"/>
        <v>7</v>
      </c>
      <c r="U6" s="7">
        <f t="shared" si="7"/>
        <v>5</v>
      </c>
      <c r="V6" s="7">
        <f t="shared" si="7"/>
        <v>4</v>
      </c>
      <c r="Y6" s="7">
        <f t="shared" si="14"/>
        <v>1</v>
      </c>
      <c r="Z6" s="7">
        <f t="shared" si="13"/>
        <v>7</v>
      </c>
      <c r="AA6" s="7">
        <f t="shared" si="13"/>
        <v>5</v>
      </c>
      <c r="AB6" s="7">
        <f t="shared" si="13"/>
        <v>4</v>
      </c>
      <c r="AG6" s="7">
        <v>4</v>
      </c>
      <c r="AH6" s="7" t="s">
        <v>1407</v>
      </c>
      <c r="CR6" s="7">
        <f t="shared" si="8"/>
        <v>0</v>
      </c>
      <c r="CS6" s="7" t="str">
        <f t="shared" si="9"/>
        <v>1-03</v>
      </c>
      <c r="CT6" s="458">
        <v>6</v>
      </c>
    </row>
    <row r="7" spans="1:98" x14ac:dyDescent="0.2">
      <c r="A7" s="7">
        <f t="shared" si="2"/>
        <v>0</v>
      </c>
      <c r="B7" s="7">
        <f t="shared" si="0"/>
        <v>6</v>
      </c>
      <c r="C7" s="7">
        <f t="shared" si="3"/>
        <v>106</v>
      </c>
      <c r="D7" s="822">
        <f t="shared" si="10"/>
        <v>6</v>
      </c>
      <c r="E7" s="822">
        <f t="shared" si="1"/>
        <v>1</v>
      </c>
      <c r="F7" s="820">
        <f t="shared" si="4"/>
        <v>5</v>
      </c>
      <c r="G7" s="821">
        <v>5</v>
      </c>
      <c r="H7" s="821">
        <v>5</v>
      </c>
      <c r="I7" s="524"/>
      <c r="J7" s="523">
        <v>7</v>
      </c>
      <c r="K7" s="29" t="str">
        <f t="shared" si="5"/>
        <v>E</v>
      </c>
      <c r="L7" s="7" t="str">
        <f t="shared" si="6"/>
        <v/>
      </c>
      <c r="O7" s="7">
        <v>105</v>
      </c>
      <c r="P7" s="7">
        <v>205</v>
      </c>
      <c r="Q7" s="7">
        <v>305</v>
      </c>
      <c r="R7" s="7">
        <v>405</v>
      </c>
      <c r="S7" s="7">
        <f t="shared" si="11"/>
        <v>3</v>
      </c>
      <c r="T7" s="7">
        <f t="shared" si="12"/>
        <v>4</v>
      </c>
      <c r="U7" s="7">
        <f t="shared" si="7"/>
        <v>6</v>
      </c>
      <c r="V7" s="7">
        <f t="shared" si="7"/>
        <v>2</v>
      </c>
      <c r="Y7" s="7">
        <f t="shared" si="14"/>
        <v>3</v>
      </c>
      <c r="Z7" s="7">
        <f t="shared" si="13"/>
        <v>4</v>
      </c>
      <c r="AA7" s="7">
        <f t="shared" si="13"/>
        <v>6</v>
      </c>
      <c r="AB7" s="7">
        <f t="shared" si="13"/>
        <v>2</v>
      </c>
      <c r="AG7" s="7">
        <v>5</v>
      </c>
      <c r="AH7" s="7" t="s">
        <v>304</v>
      </c>
      <c r="CR7" s="7">
        <f t="shared" si="8"/>
        <v>0</v>
      </c>
      <c r="CS7" s="7" t="str">
        <f t="shared" si="9"/>
        <v>1-05</v>
      </c>
      <c r="CT7" s="458">
        <v>7</v>
      </c>
    </row>
    <row r="8" spans="1:98" x14ac:dyDescent="0.2">
      <c r="A8" s="7">
        <f t="shared" si="2"/>
        <v>0</v>
      </c>
      <c r="B8" s="7">
        <f t="shared" si="0"/>
        <v>7</v>
      </c>
      <c r="C8" s="7">
        <f t="shared" si="3"/>
        <v>107</v>
      </c>
      <c r="D8" s="822">
        <f t="shared" si="10"/>
        <v>7</v>
      </c>
      <c r="E8" s="822">
        <f t="shared" si="1"/>
        <v>1</v>
      </c>
      <c r="F8" s="820">
        <f t="shared" si="4"/>
        <v>2</v>
      </c>
      <c r="G8" s="821">
        <v>7</v>
      </c>
      <c r="H8" s="821">
        <v>2</v>
      </c>
      <c r="I8" s="524"/>
      <c r="J8" s="523">
        <v>8</v>
      </c>
      <c r="K8" s="29" t="str">
        <f t="shared" si="5"/>
        <v>B</v>
      </c>
      <c r="L8" s="7" t="str">
        <f t="shared" si="6"/>
        <v/>
      </c>
      <c r="O8" s="7">
        <v>106</v>
      </c>
      <c r="P8" s="7">
        <v>206</v>
      </c>
      <c r="Q8" s="7">
        <v>306</v>
      </c>
      <c r="R8" s="7">
        <v>406</v>
      </c>
      <c r="S8" s="7">
        <f t="shared" si="11"/>
        <v>5</v>
      </c>
      <c r="T8" s="7">
        <f t="shared" si="12"/>
        <v>1</v>
      </c>
      <c r="U8" s="7">
        <f t="shared" si="7"/>
        <v>7</v>
      </c>
      <c r="V8" s="7">
        <f t="shared" si="7"/>
        <v>6</v>
      </c>
      <c r="Y8" s="7">
        <f t="shared" si="14"/>
        <v>5</v>
      </c>
      <c r="Z8" s="7">
        <f t="shared" si="13"/>
        <v>1</v>
      </c>
      <c r="AA8" s="7">
        <f t="shared" si="13"/>
        <v>7</v>
      </c>
      <c r="AB8" s="7">
        <f t="shared" si="13"/>
        <v>6</v>
      </c>
      <c r="AG8" s="7">
        <v>6</v>
      </c>
      <c r="AH8" s="7" t="s">
        <v>808</v>
      </c>
      <c r="CR8" s="7">
        <f t="shared" si="8"/>
        <v>0</v>
      </c>
      <c r="CS8" s="7" t="str">
        <f t="shared" si="9"/>
        <v>1-02</v>
      </c>
      <c r="CT8" s="458">
        <v>8</v>
      </c>
    </row>
    <row r="9" spans="1:98" x14ac:dyDescent="0.2">
      <c r="A9" s="7">
        <f t="shared" si="2"/>
        <v>0</v>
      </c>
      <c r="B9" s="7">
        <f t="shared" si="0"/>
        <v>1</v>
      </c>
      <c r="C9" s="7">
        <f t="shared" si="3"/>
        <v>201</v>
      </c>
      <c r="D9" s="822">
        <f t="shared" si="10"/>
        <v>8</v>
      </c>
      <c r="E9" s="822">
        <f t="shared" si="1"/>
        <v>2</v>
      </c>
      <c r="F9" s="820">
        <f t="shared" si="4"/>
        <v>3</v>
      </c>
      <c r="G9" s="821">
        <v>3</v>
      </c>
      <c r="H9" s="821">
        <v>3</v>
      </c>
      <c r="I9" s="524"/>
      <c r="J9" s="523">
        <v>9</v>
      </c>
      <c r="K9" s="29" t="str">
        <f t="shared" si="5"/>
        <v>C</v>
      </c>
      <c r="L9" s="7" t="str">
        <f t="shared" si="6"/>
        <v/>
      </c>
      <c r="O9" s="7">
        <v>107</v>
      </c>
      <c r="P9" s="7">
        <v>207</v>
      </c>
      <c r="Q9" s="7">
        <v>307</v>
      </c>
      <c r="R9" s="7">
        <v>407</v>
      </c>
      <c r="S9" s="7">
        <f t="shared" si="11"/>
        <v>2</v>
      </c>
      <c r="T9" s="7">
        <f t="shared" si="12"/>
        <v>5</v>
      </c>
      <c r="U9" s="7">
        <f t="shared" si="7"/>
        <v>4</v>
      </c>
      <c r="V9" s="7">
        <f t="shared" si="7"/>
        <v>3</v>
      </c>
      <c r="Y9" s="7">
        <f t="shared" si="14"/>
        <v>2</v>
      </c>
      <c r="Z9" s="7">
        <f t="shared" si="13"/>
        <v>5</v>
      </c>
      <c r="AA9" s="7">
        <f t="shared" si="13"/>
        <v>4</v>
      </c>
      <c r="AB9" s="7">
        <f t="shared" si="13"/>
        <v>3</v>
      </c>
      <c r="AG9" s="7">
        <v>7</v>
      </c>
      <c r="AH9" s="7" t="s">
        <v>1408</v>
      </c>
      <c r="CR9" s="7">
        <f t="shared" si="8"/>
        <v>0</v>
      </c>
      <c r="CS9" s="7" t="str">
        <f t="shared" si="9"/>
        <v>2-03</v>
      </c>
      <c r="CT9" s="458">
        <v>9</v>
      </c>
    </row>
    <row r="10" spans="1:98" x14ac:dyDescent="0.2">
      <c r="A10" s="7">
        <f t="shared" si="2"/>
        <v>0</v>
      </c>
      <c r="B10" s="7">
        <f t="shared" si="0"/>
        <v>2</v>
      </c>
      <c r="C10" s="7">
        <f t="shared" si="3"/>
        <v>202</v>
      </c>
      <c r="D10" s="822">
        <f t="shared" si="10"/>
        <v>9</v>
      </c>
      <c r="E10" s="822">
        <f t="shared" si="1"/>
        <v>2</v>
      </c>
      <c r="F10" s="820">
        <f t="shared" si="4"/>
        <v>6</v>
      </c>
      <c r="G10" s="821">
        <v>5</v>
      </c>
      <c r="H10" s="821">
        <v>6</v>
      </c>
      <c r="I10" s="524"/>
      <c r="J10" s="523">
        <v>10</v>
      </c>
      <c r="K10" s="29" t="str">
        <f t="shared" si="5"/>
        <v>F</v>
      </c>
      <c r="L10" s="7" t="str">
        <f t="shared" si="6"/>
        <v/>
      </c>
      <c r="O10" s="7">
        <v>108</v>
      </c>
      <c r="P10" s="7">
        <v>208</v>
      </c>
      <c r="Q10" s="7">
        <v>308</v>
      </c>
      <c r="R10" s="7">
        <v>408</v>
      </c>
      <c r="S10" s="7">
        <f t="shared" si="11"/>
        <v>2</v>
      </c>
      <c r="T10" s="7">
        <f t="shared" si="12"/>
        <v>5</v>
      </c>
      <c r="U10" s="7">
        <f t="shared" si="7"/>
        <v>4</v>
      </c>
      <c r="V10" s="7">
        <f t="shared" si="7"/>
        <v>3</v>
      </c>
      <c r="Y10" s="7" t="str">
        <f t="shared" si="14"/>
        <v/>
      </c>
      <c r="Z10" s="7" t="str">
        <f t="shared" si="13"/>
        <v/>
      </c>
      <c r="AA10" s="7" t="str">
        <f t="shared" si="13"/>
        <v/>
      </c>
      <c r="AB10" s="7" t="str">
        <f t="shared" si="13"/>
        <v/>
      </c>
      <c r="AG10" s="7">
        <v>8</v>
      </c>
      <c r="AH10" s="7" t="s">
        <v>1409</v>
      </c>
      <c r="CR10" s="7">
        <f t="shared" si="8"/>
        <v>0</v>
      </c>
      <c r="CS10" s="7" t="str">
        <f t="shared" si="9"/>
        <v>2-06</v>
      </c>
      <c r="CT10" s="458">
        <v>10</v>
      </c>
    </row>
    <row r="11" spans="1:98" x14ac:dyDescent="0.2">
      <c r="A11" s="7">
        <f t="shared" si="2"/>
        <v>0</v>
      </c>
      <c r="B11" s="7">
        <f t="shared" si="0"/>
        <v>3</v>
      </c>
      <c r="C11" s="7">
        <f t="shared" si="3"/>
        <v>203</v>
      </c>
      <c r="D11" s="822">
        <f t="shared" si="10"/>
        <v>10</v>
      </c>
      <c r="E11" s="822">
        <f t="shared" si="1"/>
        <v>2</v>
      </c>
      <c r="F11" s="820">
        <f t="shared" si="4"/>
        <v>2</v>
      </c>
      <c r="G11" s="821">
        <v>1</v>
      </c>
      <c r="H11" s="821">
        <v>2</v>
      </c>
      <c r="I11" s="524"/>
      <c r="J11" s="523">
        <v>11</v>
      </c>
      <c r="K11" s="29" t="str">
        <f t="shared" si="5"/>
        <v>B</v>
      </c>
      <c r="L11" s="7" t="str">
        <f t="shared" si="6"/>
        <v/>
      </c>
      <c r="O11" s="7">
        <v>109</v>
      </c>
      <c r="P11" s="7">
        <v>209</v>
      </c>
      <c r="Q11" s="7">
        <v>309</v>
      </c>
      <c r="R11" s="7">
        <v>409</v>
      </c>
      <c r="S11" s="7">
        <f t="shared" si="11"/>
        <v>2</v>
      </c>
      <c r="T11" s="7">
        <f t="shared" si="12"/>
        <v>5</v>
      </c>
      <c r="U11" s="7">
        <f t="shared" si="7"/>
        <v>4</v>
      </c>
      <c r="V11" s="7">
        <f t="shared" si="7"/>
        <v>3</v>
      </c>
      <c r="Y11" s="7" t="str">
        <f t="shared" si="14"/>
        <v/>
      </c>
      <c r="Z11" s="7" t="str">
        <f t="shared" si="13"/>
        <v/>
      </c>
      <c r="AA11" s="7" t="str">
        <f t="shared" si="13"/>
        <v/>
      </c>
      <c r="AB11" s="7" t="str">
        <f t="shared" si="13"/>
        <v/>
      </c>
      <c r="AG11" s="7">
        <v>9</v>
      </c>
      <c r="AH11" s="7" t="s">
        <v>238</v>
      </c>
      <c r="CR11" s="7">
        <f t="shared" si="8"/>
        <v>0</v>
      </c>
      <c r="CS11" s="7" t="str">
        <f t="shared" si="9"/>
        <v>2-02</v>
      </c>
      <c r="CT11" s="458">
        <v>11</v>
      </c>
    </row>
    <row r="12" spans="1:98" x14ac:dyDescent="0.2">
      <c r="A12" s="7">
        <f t="shared" si="2"/>
        <v>0</v>
      </c>
      <c r="B12" s="7">
        <f t="shared" si="0"/>
        <v>4</v>
      </c>
      <c r="C12" s="7">
        <f t="shared" si="3"/>
        <v>204</v>
      </c>
      <c r="D12" s="822">
        <f t="shared" si="10"/>
        <v>11</v>
      </c>
      <c r="E12" s="822">
        <f t="shared" si="1"/>
        <v>2</v>
      </c>
      <c r="F12" s="820">
        <f t="shared" si="4"/>
        <v>7</v>
      </c>
      <c r="G12" s="821">
        <v>7</v>
      </c>
      <c r="H12" s="821">
        <v>7</v>
      </c>
      <c r="I12" s="524"/>
      <c r="J12" s="523">
        <v>12</v>
      </c>
      <c r="K12" s="29" t="str">
        <f t="shared" si="5"/>
        <v>G</v>
      </c>
      <c r="L12" s="7" t="str">
        <f t="shared" si="6"/>
        <v/>
      </c>
      <c r="O12" s="7">
        <v>110</v>
      </c>
      <c r="P12" s="7">
        <v>210</v>
      </c>
      <c r="Q12" s="7">
        <v>310</v>
      </c>
      <c r="R12" s="7">
        <v>410</v>
      </c>
      <c r="S12" s="7">
        <f t="shared" si="11"/>
        <v>2</v>
      </c>
      <c r="T12" s="7">
        <f t="shared" si="12"/>
        <v>5</v>
      </c>
      <c r="U12" s="7">
        <f t="shared" si="7"/>
        <v>4</v>
      </c>
      <c r="V12" s="7">
        <f t="shared" si="7"/>
        <v>3</v>
      </c>
      <c r="Y12" s="7" t="str">
        <f t="shared" si="14"/>
        <v/>
      </c>
      <c r="Z12" s="7" t="str">
        <f t="shared" si="13"/>
        <v/>
      </c>
      <c r="AA12" s="7" t="str">
        <f t="shared" si="13"/>
        <v/>
      </c>
      <c r="AB12" s="7" t="str">
        <f t="shared" si="13"/>
        <v/>
      </c>
      <c r="AG12" s="7">
        <v>10</v>
      </c>
      <c r="AH12" s="7" t="s">
        <v>1410</v>
      </c>
      <c r="CR12" s="7">
        <f t="shared" si="8"/>
        <v>0</v>
      </c>
      <c r="CS12" s="7" t="str">
        <f t="shared" si="9"/>
        <v>2-07</v>
      </c>
      <c r="CT12" s="458">
        <v>12</v>
      </c>
    </row>
    <row r="13" spans="1:98" x14ac:dyDescent="0.2">
      <c r="A13" s="7">
        <f t="shared" si="2"/>
        <v>0</v>
      </c>
      <c r="B13" s="7">
        <f t="shared" si="0"/>
        <v>5</v>
      </c>
      <c r="C13" s="7">
        <f t="shared" si="3"/>
        <v>205</v>
      </c>
      <c r="D13" s="822">
        <f t="shared" si="10"/>
        <v>12</v>
      </c>
      <c r="E13" s="822">
        <f t="shared" si="1"/>
        <v>2</v>
      </c>
      <c r="F13" s="820">
        <f t="shared" si="4"/>
        <v>4</v>
      </c>
      <c r="G13" s="821">
        <v>6</v>
      </c>
      <c r="H13" s="821">
        <v>4</v>
      </c>
      <c r="I13" s="524"/>
      <c r="J13" s="523">
        <v>13</v>
      </c>
      <c r="K13" s="29" t="str">
        <f t="shared" si="5"/>
        <v>D</v>
      </c>
      <c r="L13" s="7" t="str">
        <f t="shared" si="6"/>
        <v/>
      </c>
      <c r="O13" s="7">
        <v>111</v>
      </c>
      <c r="P13" s="7">
        <v>211</v>
      </c>
      <c r="Q13" s="7">
        <v>311</v>
      </c>
      <c r="R13" s="7">
        <v>411</v>
      </c>
      <c r="S13" s="7">
        <f t="shared" si="11"/>
        <v>2</v>
      </c>
      <c r="T13" s="7">
        <f t="shared" si="12"/>
        <v>5</v>
      </c>
      <c r="U13" s="7">
        <f t="shared" si="7"/>
        <v>4</v>
      </c>
      <c r="V13" s="7">
        <f t="shared" si="7"/>
        <v>3</v>
      </c>
      <c r="Y13" s="7" t="str">
        <f t="shared" si="14"/>
        <v/>
      </c>
      <c r="Z13" s="7" t="str">
        <f t="shared" si="13"/>
        <v/>
      </c>
      <c r="AA13" s="7" t="str">
        <f t="shared" si="13"/>
        <v/>
      </c>
      <c r="AB13" s="7" t="str">
        <f t="shared" si="13"/>
        <v/>
      </c>
      <c r="AG13" s="7">
        <v>11</v>
      </c>
      <c r="AH13" s="7" t="s">
        <v>1411</v>
      </c>
      <c r="CR13" s="7">
        <f t="shared" si="8"/>
        <v>0</v>
      </c>
      <c r="CS13" s="7" t="str">
        <f t="shared" si="9"/>
        <v>2-04</v>
      </c>
      <c r="CT13" s="458">
        <v>13</v>
      </c>
    </row>
    <row r="14" spans="1:98" x14ac:dyDescent="0.2">
      <c r="A14" s="7" t="str">
        <f t="shared" si="2"/>
        <v>Ob2</v>
      </c>
      <c r="B14" s="7">
        <f t="shared" si="0"/>
        <v>6</v>
      </c>
      <c r="C14" s="7">
        <f t="shared" si="3"/>
        <v>206</v>
      </c>
      <c r="D14" s="822">
        <f t="shared" si="10"/>
        <v>13</v>
      </c>
      <c r="E14" s="822">
        <f t="shared" si="1"/>
        <v>2</v>
      </c>
      <c r="F14" s="820">
        <f t="shared" si="4"/>
        <v>1</v>
      </c>
      <c r="G14" s="821">
        <v>2</v>
      </c>
      <c r="H14" s="821">
        <v>1</v>
      </c>
      <c r="I14" s="524"/>
      <c r="J14" s="523">
        <v>14</v>
      </c>
      <c r="K14" s="29" t="str">
        <f t="shared" si="5"/>
        <v>A</v>
      </c>
      <c r="L14" s="7">
        <f t="shared" si="6"/>
        <v>2</v>
      </c>
      <c r="O14" s="7">
        <v>112</v>
      </c>
      <c r="P14" s="7">
        <v>212</v>
      </c>
      <c r="Q14" s="7">
        <v>312</v>
      </c>
      <c r="R14" s="7">
        <v>412</v>
      </c>
      <c r="S14" s="7">
        <f t="shared" si="11"/>
        <v>2</v>
      </c>
      <c r="T14" s="7">
        <f t="shared" si="12"/>
        <v>5</v>
      </c>
      <c r="U14" s="7">
        <f t="shared" si="7"/>
        <v>4</v>
      </c>
      <c r="V14" s="7">
        <f t="shared" si="7"/>
        <v>3</v>
      </c>
      <c r="Y14" s="7" t="str">
        <f t="shared" si="14"/>
        <v/>
      </c>
      <c r="Z14" s="7" t="str">
        <f t="shared" si="13"/>
        <v/>
      </c>
      <c r="AA14" s="7" t="str">
        <f t="shared" si="13"/>
        <v/>
      </c>
      <c r="AB14" s="7" t="str">
        <f t="shared" si="13"/>
        <v/>
      </c>
      <c r="AG14" s="7">
        <v>12</v>
      </c>
      <c r="AH14" s="7" t="s">
        <v>985</v>
      </c>
      <c r="CR14" s="7">
        <f t="shared" si="8"/>
        <v>0</v>
      </c>
      <c r="CS14" s="7" t="str">
        <f t="shared" si="9"/>
        <v>2-01</v>
      </c>
      <c r="CT14" s="458">
        <v>14</v>
      </c>
    </row>
    <row r="15" spans="1:98" x14ac:dyDescent="0.2">
      <c r="A15" s="7">
        <f t="shared" si="2"/>
        <v>0</v>
      </c>
      <c r="B15" s="7">
        <f t="shared" si="0"/>
        <v>7</v>
      </c>
      <c r="C15" s="7">
        <f t="shared" si="3"/>
        <v>207</v>
      </c>
      <c r="D15" s="822">
        <f t="shared" si="10"/>
        <v>14</v>
      </c>
      <c r="E15" s="822">
        <f t="shared" si="1"/>
        <v>2</v>
      </c>
      <c r="F15" s="820">
        <f t="shared" si="4"/>
        <v>5</v>
      </c>
      <c r="G15" s="821">
        <v>4</v>
      </c>
      <c r="H15" s="821">
        <v>5</v>
      </c>
      <c r="I15" s="524"/>
      <c r="J15" s="523">
        <v>15</v>
      </c>
      <c r="K15" s="29" t="str">
        <f t="shared" si="5"/>
        <v>E</v>
      </c>
      <c r="L15" s="7" t="str">
        <f t="shared" si="6"/>
        <v/>
      </c>
      <c r="O15" s="7">
        <v>113</v>
      </c>
      <c r="P15" s="7">
        <v>213</v>
      </c>
      <c r="Q15" s="7">
        <v>313</v>
      </c>
      <c r="R15" s="7">
        <v>413</v>
      </c>
      <c r="S15" s="7">
        <f t="shared" si="11"/>
        <v>2</v>
      </c>
      <c r="T15" s="7">
        <f t="shared" si="12"/>
        <v>5</v>
      </c>
      <c r="U15" s="7">
        <f t="shared" si="7"/>
        <v>4</v>
      </c>
      <c r="V15" s="7">
        <f t="shared" si="7"/>
        <v>3</v>
      </c>
      <c r="Y15" s="7" t="str">
        <f t="shared" si="14"/>
        <v/>
      </c>
      <c r="Z15" s="7" t="str">
        <f t="shared" si="13"/>
        <v/>
      </c>
      <c r="AA15" s="7" t="str">
        <f t="shared" si="13"/>
        <v/>
      </c>
      <c r="AB15" s="7" t="str">
        <f t="shared" si="13"/>
        <v/>
      </c>
      <c r="AG15" s="7">
        <v>13</v>
      </c>
      <c r="AH15" s="7" t="s">
        <v>1412</v>
      </c>
      <c r="CR15" s="7">
        <f t="shared" si="8"/>
        <v>0</v>
      </c>
      <c r="CS15" s="7" t="str">
        <f t="shared" si="9"/>
        <v>2-05</v>
      </c>
      <c r="CT15" s="458">
        <v>15</v>
      </c>
    </row>
    <row r="16" spans="1:98" x14ac:dyDescent="0.2">
      <c r="A16" s="7" t="str">
        <f t="shared" si="2"/>
        <v>Ob3</v>
      </c>
      <c r="B16" s="7">
        <f t="shared" si="0"/>
        <v>1</v>
      </c>
      <c r="C16" s="7">
        <f t="shared" si="3"/>
        <v>301</v>
      </c>
      <c r="D16" s="822">
        <f t="shared" si="10"/>
        <v>15</v>
      </c>
      <c r="E16" s="822">
        <f t="shared" si="1"/>
        <v>3</v>
      </c>
      <c r="F16" s="820">
        <f t="shared" si="4"/>
        <v>1</v>
      </c>
      <c r="G16" s="821">
        <v>7</v>
      </c>
      <c r="H16" s="821">
        <v>1</v>
      </c>
      <c r="I16" s="524"/>
      <c r="J16" s="523">
        <v>16</v>
      </c>
      <c r="K16" s="29" t="str">
        <f t="shared" si="5"/>
        <v>A</v>
      </c>
      <c r="L16" s="7">
        <f t="shared" si="6"/>
        <v>3</v>
      </c>
      <c r="O16" s="7">
        <v>114</v>
      </c>
      <c r="P16" s="7">
        <v>214</v>
      </c>
      <c r="Q16" s="7">
        <v>314</v>
      </c>
      <c r="R16" s="7">
        <v>414</v>
      </c>
      <c r="S16" s="7">
        <f t="shared" si="11"/>
        <v>2</v>
      </c>
      <c r="T16" s="7">
        <f t="shared" si="12"/>
        <v>5</v>
      </c>
      <c r="U16" s="7">
        <f t="shared" si="7"/>
        <v>4</v>
      </c>
      <c r="V16" s="7">
        <f t="shared" si="7"/>
        <v>3</v>
      </c>
      <c r="Y16" s="7" t="str">
        <f t="shared" si="14"/>
        <v/>
      </c>
      <c r="Z16" s="7" t="str">
        <f t="shared" si="13"/>
        <v/>
      </c>
      <c r="AA16" s="7" t="str">
        <f t="shared" si="13"/>
        <v/>
      </c>
      <c r="AB16" s="7" t="str">
        <f t="shared" si="13"/>
        <v/>
      </c>
      <c r="AG16" s="7">
        <v>14</v>
      </c>
      <c r="AH16" s="7" t="s">
        <v>133</v>
      </c>
      <c r="CR16" s="7">
        <f t="shared" si="8"/>
        <v>0</v>
      </c>
      <c r="CS16" s="7" t="str">
        <f t="shared" si="9"/>
        <v>3-01</v>
      </c>
      <c r="CT16" s="458">
        <v>16</v>
      </c>
    </row>
    <row r="17" spans="1:98" x14ac:dyDescent="0.2">
      <c r="A17" s="7">
        <f t="shared" si="2"/>
        <v>0</v>
      </c>
      <c r="B17" s="7">
        <f t="shared" si="0"/>
        <v>2</v>
      </c>
      <c r="C17" s="7">
        <f t="shared" si="3"/>
        <v>302</v>
      </c>
      <c r="D17" s="822">
        <f t="shared" si="10"/>
        <v>16</v>
      </c>
      <c r="E17" s="822">
        <f t="shared" si="1"/>
        <v>3</v>
      </c>
      <c r="F17" s="820">
        <f t="shared" si="4"/>
        <v>2</v>
      </c>
      <c r="G17" s="821">
        <v>4</v>
      </c>
      <c r="H17" s="821">
        <v>2</v>
      </c>
      <c r="I17" s="524"/>
      <c r="J17" s="523">
        <v>17</v>
      </c>
      <c r="K17" s="29" t="str">
        <f t="shared" si="5"/>
        <v>B</v>
      </c>
      <c r="L17" s="7" t="str">
        <f t="shared" si="6"/>
        <v/>
      </c>
      <c r="O17" s="7">
        <v>115</v>
      </c>
      <c r="P17" s="7">
        <v>215</v>
      </c>
      <c r="Q17" s="7">
        <v>315</v>
      </c>
      <c r="R17" s="7">
        <v>415</v>
      </c>
      <c r="S17" s="7">
        <f t="shared" si="11"/>
        <v>2</v>
      </c>
      <c r="T17" s="7">
        <f t="shared" si="12"/>
        <v>5</v>
      </c>
      <c r="U17" s="7">
        <f t="shared" si="7"/>
        <v>4</v>
      </c>
      <c r="V17" s="7">
        <f t="shared" si="7"/>
        <v>3</v>
      </c>
      <c r="Y17" s="7" t="str">
        <f t="shared" si="14"/>
        <v/>
      </c>
      <c r="Z17" s="7" t="str">
        <f t="shared" si="13"/>
        <v/>
      </c>
      <c r="AA17" s="7" t="str">
        <f t="shared" si="13"/>
        <v/>
      </c>
      <c r="AB17" s="7" t="str">
        <f t="shared" si="13"/>
        <v/>
      </c>
      <c r="AG17" s="7">
        <v>15</v>
      </c>
      <c r="AH17" s="7" t="s">
        <v>383</v>
      </c>
      <c r="CR17" s="7">
        <f t="shared" si="8"/>
        <v>0</v>
      </c>
      <c r="CS17" s="7" t="str">
        <f t="shared" si="9"/>
        <v>3-02</v>
      </c>
      <c r="CT17" s="458">
        <v>17</v>
      </c>
    </row>
    <row r="18" spans="1:98" x14ac:dyDescent="0.2">
      <c r="A18" s="7">
        <f t="shared" si="2"/>
        <v>0</v>
      </c>
      <c r="B18" s="7">
        <f t="shared" si="0"/>
        <v>3</v>
      </c>
      <c r="C18" s="7">
        <f t="shared" si="3"/>
        <v>303</v>
      </c>
      <c r="D18" s="822">
        <f t="shared" si="10"/>
        <v>17</v>
      </c>
      <c r="E18" s="822">
        <f t="shared" si="1"/>
        <v>3</v>
      </c>
      <c r="F18" s="820">
        <f t="shared" si="4"/>
        <v>6</v>
      </c>
      <c r="G18" s="821">
        <v>5</v>
      </c>
      <c r="H18" s="821">
        <v>6</v>
      </c>
      <c r="I18" s="524"/>
      <c r="J18" s="523">
        <v>18</v>
      </c>
      <c r="K18" s="29" t="str">
        <f t="shared" si="5"/>
        <v>F</v>
      </c>
      <c r="L18" s="7" t="str">
        <f t="shared" si="6"/>
        <v/>
      </c>
      <c r="O18" s="7">
        <v>116</v>
      </c>
      <c r="P18" s="7">
        <v>216</v>
      </c>
      <c r="Q18" s="7">
        <v>316</v>
      </c>
      <c r="R18" s="7">
        <v>416</v>
      </c>
      <c r="S18" s="7">
        <f t="shared" si="11"/>
        <v>2</v>
      </c>
      <c r="T18" s="7">
        <f t="shared" si="12"/>
        <v>5</v>
      </c>
      <c r="U18" s="7">
        <f t="shared" si="7"/>
        <v>4</v>
      </c>
      <c r="V18" s="7">
        <f t="shared" si="7"/>
        <v>3</v>
      </c>
      <c r="Y18" s="7" t="str">
        <f t="shared" si="14"/>
        <v/>
      </c>
      <c r="Z18" s="7" t="str">
        <f t="shared" si="13"/>
        <v/>
      </c>
      <c r="AA18" s="7" t="str">
        <f t="shared" si="13"/>
        <v/>
      </c>
      <c r="AB18" s="7" t="str">
        <f t="shared" si="13"/>
        <v/>
      </c>
      <c r="AG18" s="7">
        <v>16</v>
      </c>
      <c r="AH18" s="7" t="s">
        <v>1413</v>
      </c>
      <c r="CR18" s="7">
        <f t="shared" si="8"/>
        <v>0</v>
      </c>
      <c r="CS18" s="7" t="str">
        <f t="shared" si="9"/>
        <v>3-06</v>
      </c>
      <c r="CT18" s="458">
        <v>18</v>
      </c>
    </row>
    <row r="19" spans="1:98" x14ac:dyDescent="0.2">
      <c r="A19" s="7">
        <f t="shared" si="2"/>
        <v>0</v>
      </c>
      <c r="B19" s="7">
        <f t="shared" si="0"/>
        <v>4</v>
      </c>
      <c r="C19" s="7">
        <f t="shared" si="3"/>
        <v>304</v>
      </c>
      <c r="D19" s="822">
        <f t="shared" si="10"/>
        <v>18</v>
      </c>
      <c r="E19" s="822">
        <f t="shared" si="1"/>
        <v>3</v>
      </c>
      <c r="F19" s="820">
        <f t="shared" si="4"/>
        <v>5</v>
      </c>
      <c r="G19" s="821">
        <v>2</v>
      </c>
      <c r="H19" s="821">
        <v>5</v>
      </c>
      <c r="I19" s="524"/>
      <c r="J19" s="523">
        <v>19</v>
      </c>
      <c r="K19" s="29" t="str">
        <f t="shared" si="5"/>
        <v>E</v>
      </c>
      <c r="L19" s="7" t="str">
        <f t="shared" si="6"/>
        <v/>
      </c>
      <c r="O19" s="7">
        <v>117</v>
      </c>
      <c r="P19" s="7">
        <v>217</v>
      </c>
      <c r="Q19" s="7">
        <v>317</v>
      </c>
      <c r="R19" s="7">
        <v>417</v>
      </c>
      <c r="S19" s="7">
        <f t="shared" si="11"/>
        <v>2</v>
      </c>
      <c r="T19" s="7">
        <f t="shared" si="12"/>
        <v>5</v>
      </c>
      <c r="U19" s="7">
        <f t="shared" ref="U19:V22" si="15">VLOOKUP(Q19,$C$2:$F$81,4,1)</f>
        <v>4</v>
      </c>
      <c r="V19" s="7">
        <f t="shared" si="15"/>
        <v>3</v>
      </c>
      <c r="Y19" s="7" t="str">
        <f t="shared" si="14"/>
        <v/>
      </c>
      <c r="Z19" s="7" t="str">
        <f t="shared" si="13"/>
        <v/>
      </c>
      <c r="AA19" s="7" t="str">
        <f t="shared" si="13"/>
        <v/>
      </c>
      <c r="AB19" s="7" t="str">
        <f t="shared" si="13"/>
        <v/>
      </c>
      <c r="AG19" s="7">
        <v>17</v>
      </c>
      <c r="AH19" s="7" t="s">
        <v>1414</v>
      </c>
      <c r="CR19" s="7">
        <f t="shared" si="8"/>
        <v>0</v>
      </c>
      <c r="CS19" s="7" t="str">
        <f t="shared" si="9"/>
        <v>3-05</v>
      </c>
      <c r="CT19" s="458">
        <v>19</v>
      </c>
    </row>
    <row r="20" spans="1:98" x14ac:dyDescent="0.2">
      <c r="A20" s="7">
        <f t="shared" si="2"/>
        <v>0</v>
      </c>
      <c r="B20" s="7">
        <f t="shared" si="0"/>
        <v>5</v>
      </c>
      <c r="C20" s="7">
        <f t="shared" si="3"/>
        <v>305</v>
      </c>
      <c r="D20" s="822">
        <f t="shared" si="10"/>
        <v>19</v>
      </c>
      <c r="E20" s="822">
        <f t="shared" si="1"/>
        <v>3</v>
      </c>
      <c r="F20" s="820">
        <f t="shared" si="4"/>
        <v>6</v>
      </c>
      <c r="G20" s="821">
        <v>1</v>
      </c>
      <c r="H20" s="821">
        <v>6</v>
      </c>
      <c r="I20" s="524"/>
      <c r="J20" s="523">
        <v>20</v>
      </c>
      <c r="K20" s="29" t="str">
        <f t="shared" si="5"/>
        <v>F</v>
      </c>
      <c r="L20" s="7" t="str">
        <f t="shared" si="6"/>
        <v/>
      </c>
      <c r="O20" s="7">
        <v>118</v>
      </c>
      <c r="P20" s="7">
        <v>218</v>
      </c>
      <c r="Q20" s="7">
        <v>318</v>
      </c>
      <c r="R20" s="7">
        <v>418</v>
      </c>
      <c r="S20" s="7">
        <f t="shared" si="11"/>
        <v>2</v>
      </c>
      <c r="T20" s="7">
        <f t="shared" si="12"/>
        <v>5</v>
      </c>
      <c r="U20" s="7">
        <f t="shared" si="15"/>
        <v>4</v>
      </c>
      <c r="V20" s="7">
        <f t="shared" si="15"/>
        <v>3</v>
      </c>
      <c r="Y20" s="7" t="str">
        <f t="shared" si="14"/>
        <v/>
      </c>
      <c r="Z20" s="7" t="str">
        <f t="shared" ref="Z20:AB22" si="16">IF(T20=T19,"",T20)</f>
        <v/>
      </c>
      <c r="AA20" s="7" t="str">
        <f t="shared" si="16"/>
        <v/>
      </c>
      <c r="AB20" s="7" t="str">
        <f t="shared" si="16"/>
        <v/>
      </c>
      <c r="CR20" s="7">
        <f t="shared" si="8"/>
        <v>0</v>
      </c>
      <c r="CS20" s="7" t="str">
        <f t="shared" si="9"/>
        <v>3-06</v>
      </c>
      <c r="CT20" s="458">
        <v>20</v>
      </c>
    </row>
    <row r="21" spans="1:98" x14ac:dyDescent="0.2">
      <c r="A21" s="7">
        <f t="shared" si="2"/>
        <v>0</v>
      </c>
      <c r="B21" s="7">
        <f t="shared" si="0"/>
        <v>6</v>
      </c>
      <c r="C21" s="7">
        <f t="shared" si="3"/>
        <v>306</v>
      </c>
      <c r="D21" s="822">
        <f t="shared" si="10"/>
        <v>20</v>
      </c>
      <c r="E21" s="822">
        <f t="shared" si="1"/>
        <v>3</v>
      </c>
      <c r="F21" s="820">
        <f t="shared" si="4"/>
        <v>7</v>
      </c>
      <c r="G21" s="821">
        <v>6</v>
      </c>
      <c r="H21" s="821">
        <v>7</v>
      </c>
      <c r="I21" s="524"/>
      <c r="J21" s="523">
        <v>21</v>
      </c>
      <c r="K21" s="29" t="str">
        <f t="shared" si="5"/>
        <v>G</v>
      </c>
      <c r="L21" s="7" t="str">
        <f t="shared" si="6"/>
        <v/>
      </c>
      <c r="O21" s="7">
        <v>119</v>
      </c>
      <c r="P21" s="7">
        <v>219</v>
      </c>
      <c r="Q21" s="7">
        <v>319</v>
      </c>
      <c r="R21" s="7">
        <v>419</v>
      </c>
      <c r="S21" s="7">
        <f t="shared" si="11"/>
        <v>2</v>
      </c>
      <c r="T21" s="7">
        <f t="shared" si="12"/>
        <v>5</v>
      </c>
      <c r="U21" s="7">
        <f t="shared" si="15"/>
        <v>4</v>
      </c>
      <c r="V21" s="7">
        <f t="shared" si="15"/>
        <v>3</v>
      </c>
      <c r="Y21" s="7" t="str">
        <f t="shared" si="14"/>
        <v/>
      </c>
      <c r="Z21" s="7" t="str">
        <f t="shared" si="16"/>
        <v/>
      </c>
      <c r="AA21" s="7" t="str">
        <f t="shared" si="16"/>
        <v/>
      </c>
      <c r="AB21" s="7" t="str">
        <f t="shared" si="16"/>
        <v/>
      </c>
      <c r="CR21" s="7">
        <f t="shared" si="8"/>
        <v>0</v>
      </c>
      <c r="CS21" s="7" t="str">
        <f t="shared" si="9"/>
        <v>3-07</v>
      </c>
      <c r="CT21" s="458">
        <v>21</v>
      </c>
    </row>
    <row r="22" spans="1:98" x14ac:dyDescent="0.2">
      <c r="A22" s="7">
        <f t="shared" si="2"/>
        <v>0</v>
      </c>
      <c r="B22" s="7">
        <f t="shared" si="0"/>
        <v>7</v>
      </c>
      <c r="C22" s="7">
        <f t="shared" si="3"/>
        <v>307</v>
      </c>
      <c r="D22" s="822">
        <f t="shared" si="10"/>
        <v>21</v>
      </c>
      <c r="E22" s="822">
        <f t="shared" si="1"/>
        <v>3</v>
      </c>
      <c r="F22" s="820">
        <f t="shared" si="4"/>
        <v>4</v>
      </c>
      <c r="G22" s="821">
        <v>3</v>
      </c>
      <c r="H22" s="821">
        <v>4</v>
      </c>
      <c r="I22" s="524"/>
      <c r="J22" s="523">
        <v>22</v>
      </c>
      <c r="K22" s="29" t="str">
        <f t="shared" si="5"/>
        <v>D</v>
      </c>
      <c r="L22" s="7" t="str">
        <f t="shared" si="6"/>
        <v/>
      </c>
      <c r="O22" s="7">
        <v>120</v>
      </c>
      <c r="P22" s="7">
        <v>220</v>
      </c>
      <c r="Q22" s="7">
        <v>320</v>
      </c>
      <c r="R22" s="7">
        <v>420</v>
      </c>
      <c r="S22" s="7">
        <f t="shared" si="11"/>
        <v>2</v>
      </c>
      <c r="T22" s="7">
        <f t="shared" si="12"/>
        <v>5</v>
      </c>
      <c r="U22" s="7">
        <f t="shared" si="15"/>
        <v>4</v>
      </c>
      <c r="V22" s="7">
        <f t="shared" si="15"/>
        <v>3</v>
      </c>
      <c r="Y22" s="7" t="str">
        <f t="shared" si="14"/>
        <v/>
      </c>
      <c r="Z22" s="7" t="str">
        <f t="shared" si="16"/>
        <v/>
      </c>
      <c r="AA22" s="7" t="str">
        <f t="shared" si="16"/>
        <v/>
      </c>
      <c r="AB22" s="7" t="str">
        <f t="shared" si="16"/>
        <v/>
      </c>
      <c r="CR22" s="7">
        <f t="shared" si="8"/>
        <v>0</v>
      </c>
      <c r="CS22" s="7" t="str">
        <f t="shared" si="9"/>
        <v>3-04</v>
      </c>
      <c r="CT22" s="458">
        <v>22</v>
      </c>
    </row>
    <row r="23" spans="1:98" x14ac:dyDescent="0.2">
      <c r="A23" s="7">
        <f t="shared" si="2"/>
        <v>0</v>
      </c>
      <c r="B23" s="7">
        <f t="shared" si="0"/>
        <v>1</v>
      </c>
      <c r="C23" s="7">
        <f t="shared" si="3"/>
        <v>401</v>
      </c>
      <c r="D23" s="822">
        <f t="shared" si="10"/>
        <v>22</v>
      </c>
      <c r="E23" s="822">
        <f t="shared" si="1"/>
        <v>4</v>
      </c>
      <c r="F23" s="820">
        <f t="shared" si="4"/>
        <v>5</v>
      </c>
      <c r="G23" s="821">
        <v>2</v>
      </c>
      <c r="H23" s="821">
        <v>5</v>
      </c>
      <c r="I23" s="524"/>
      <c r="J23" s="523">
        <v>23</v>
      </c>
      <c r="K23" s="29" t="str">
        <f t="shared" si="5"/>
        <v>E</v>
      </c>
      <c r="L23" s="7" t="str">
        <f t="shared" si="6"/>
        <v/>
      </c>
      <c r="CR23" s="7">
        <f t="shared" si="8"/>
        <v>0</v>
      </c>
      <c r="CS23" s="7" t="str">
        <f t="shared" si="9"/>
        <v>4-05</v>
      </c>
      <c r="CT23" s="458">
        <v>23</v>
      </c>
    </row>
    <row r="24" spans="1:98" x14ac:dyDescent="0.2">
      <c r="A24" s="7">
        <f t="shared" si="2"/>
        <v>0</v>
      </c>
      <c r="B24" s="7">
        <f t="shared" si="0"/>
        <v>2</v>
      </c>
      <c r="C24" s="7">
        <f t="shared" si="3"/>
        <v>402</v>
      </c>
      <c r="D24" s="822">
        <f t="shared" si="10"/>
        <v>23</v>
      </c>
      <c r="E24" s="822">
        <f t="shared" si="1"/>
        <v>4</v>
      </c>
      <c r="F24" s="820">
        <f t="shared" si="4"/>
        <v>7</v>
      </c>
      <c r="G24" s="821">
        <v>6</v>
      </c>
      <c r="H24" s="821">
        <v>7</v>
      </c>
      <c r="I24" s="524"/>
      <c r="J24" s="523">
        <v>24</v>
      </c>
      <c r="K24" s="29" t="str">
        <f t="shared" si="5"/>
        <v>G</v>
      </c>
      <c r="L24" s="7" t="str">
        <f t="shared" si="6"/>
        <v/>
      </c>
      <c r="CR24" s="7">
        <f t="shared" si="8"/>
        <v>0</v>
      </c>
      <c r="CS24" s="7" t="str">
        <f t="shared" si="9"/>
        <v>4-07</v>
      </c>
      <c r="CT24" s="458">
        <v>24</v>
      </c>
    </row>
    <row r="25" spans="1:98" x14ac:dyDescent="0.2">
      <c r="A25" s="7" t="str">
        <f t="shared" si="2"/>
        <v>Ob4</v>
      </c>
      <c r="B25" s="7">
        <f t="shared" si="0"/>
        <v>3</v>
      </c>
      <c r="C25" s="7">
        <f t="shared" si="3"/>
        <v>403</v>
      </c>
      <c r="D25" s="822">
        <f t="shared" si="10"/>
        <v>24</v>
      </c>
      <c r="E25" s="822">
        <f t="shared" si="1"/>
        <v>4</v>
      </c>
      <c r="F25" s="820">
        <f t="shared" si="4"/>
        <v>1</v>
      </c>
      <c r="G25" s="821">
        <v>4</v>
      </c>
      <c r="H25" s="821">
        <v>1</v>
      </c>
      <c r="I25" s="524"/>
      <c r="J25" s="523">
        <v>25</v>
      </c>
      <c r="K25" s="29" t="str">
        <f t="shared" si="5"/>
        <v>A</v>
      </c>
      <c r="L25" s="7">
        <f t="shared" si="6"/>
        <v>4</v>
      </c>
      <c r="CR25" s="7">
        <f t="shared" si="8"/>
        <v>0</v>
      </c>
      <c r="CS25" s="7" t="str">
        <f t="shared" si="9"/>
        <v>4-01</v>
      </c>
      <c r="CT25" s="458">
        <v>25</v>
      </c>
    </row>
    <row r="26" spans="1:98" x14ac:dyDescent="0.2">
      <c r="A26" s="7">
        <f t="shared" si="2"/>
        <v>0</v>
      </c>
      <c r="B26" s="7">
        <f t="shared" si="0"/>
        <v>4</v>
      </c>
      <c r="C26" s="7">
        <f t="shared" si="3"/>
        <v>404</v>
      </c>
      <c r="D26" s="822">
        <f t="shared" si="10"/>
        <v>25</v>
      </c>
      <c r="E26" s="822">
        <f t="shared" si="1"/>
        <v>4</v>
      </c>
      <c r="F26" s="820">
        <f t="shared" si="4"/>
        <v>4</v>
      </c>
      <c r="G26" s="821">
        <v>3</v>
      </c>
      <c r="H26" s="821">
        <v>4</v>
      </c>
      <c r="I26" s="524"/>
      <c r="J26" s="523">
        <v>26</v>
      </c>
      <c r="K26" s="29" t="str">
        <f t="shared" si="5"/>
        <v>D</v>
      </c>
      <c r="L26" s="7" t="str">
        <f t="shared" si="6"/>
        <v/>
      </c>
      <c r="O26" s="7" t="s">
        <v>220</v>
      </c>
      <c r="CR26" s="7">
        <f t="shared" si="8"/>
        <v>0</v>
      </c>
      <c r="CS26" s="7" t="str">
        <f t="shared" si="9"/>
        <v>4-04</v>
      </c>
      <c r="CT26" s="458">
        <v>26</v>
      </c>
    </row>
    <row r="27" spans="1:98" x14ac:dyDescent="0.2">
      <c r="A27" s="7">
        <f t="shared" si="2"/>
        <v>0</v>
      </c>
      <c r="B27" s="7">
        <f t="shared" si="0"/>
        <v>5</v>
      </c>
      <c r="C27" s="7">
        <f t="shared" si="3"/>
        <v>405</v>
      </c>
      <c r="D27" s="822">
        <f t="shared" si="10"/>
        <v>26</v>
      </c>
      <c r="E27" s="822">
        <f t="shared" si="1"/>
        <v>4</v>
      </c>
      <c r="F27" s="820">
        <f t="shared" si="4"/>
        <v>2</v>
      </c>
      <c r="G27" s="821">
        <v>5</v>
      </c>
      <c r="H27" s="821">
        <v>2</v>
      </c>
      <c r="I27" s="524"/>
      <c r="J27" s="523">
        <v>27</v>
      </c>
      <c r="K27" s="29" t="str">
        <f t="shared" si="5"/>
        <v>B</v>
      </c>
      <c r="L27" s="7" t="str">
        <f t="shared" si="6"/>
        <v/>
      </c>
      <c r="O27" s="16">
        <f>O49</f>
        <v>7</v>
      </c>
      <c r="P27" s="7">
        <f>$AB$3</f>
        <v>5</v>
      </c>
      <c r="Q27" s="7">
        <f>$AB$4</f>
        <v>7</v>
      </c>
      <c r="R27" s="7">
        <f>$AB$5</f>
        <v>1</v>
      </c>
      <c r="S27" s="7">
        <f>$AB$6</f>
        <v>4</v>
      </c>
      <c r="T27" s="7">
        <f>$AB$7</f>
        <v>2</v>
      </c>
      <c r="U27" s="7">
        <f>$AB$8</f>
        <v>6</v>
      </c>
      <c r="V27" s="7">
        <f>$AB$9</f>
        <v>3</v>
      </c>
      <c r="W27" s="7" t="str">
        <f>$AB$10</f>
        <v/>
      </c>
      <c r="X27" s="7" t="str">
        <f>$AB$11</f>
        <v/>
      </c>
      <c r="Y27" s="7" t="str">
        <f>$AB$12</f>
        <v/>
      </c>
      <c r="Z27" s="7" t="str">
        <f>$AB$13</f>
        <v/>
      </c>
      <c r="AA27" s="7" t="str">
        <f>$AB$14</f>
        <v/>
      </c>
      <c r="AB27" s="7" t="str">
        <f>$AB$15</f>
        <v/>
      </c>
      <c r="AC27" s="7" t="str">
        <f>$AB$16</f>
        <v/>
      </c>
      <c r="AD27" s="7" t="str">
        <f>$AB$17</f>
        <v/>
      </c>
      <c r="AE27" s="7" t="str">
        <f>$AB$18</f>
        <v/>
      </c>
      <c r="AF27" s="7" t="str">
        <f>$AB$19</f>
        <v/>
      </c>
      <c r="AG27" s="7" t="str">
        <f>$AB$20</f>
        <v/>
      </c>
      <c r="AH27" s="7" t="str">
        <f>$AB$21</f>
        <v/>
      </c>
      <c r="AI27" s="7" t="str">
        <f>$AB$22</f>
        <v/>
      </c>
      <c r="CR27" s="7">
        <f t="shared" si="8"/>
        <v>0</v>
      </c>
      <c r="CS27" s="7" t="str">
        <f t="shared" si="9"/>
        <v>4-02</v>
      </c>
      <c r="CT27" s="458">
        <v>27</v>
      </c>
    </row>
    <row r="28" spans="1:98" x14ac:dyDescent="0.2">
      <c r="A28" s="7">
        <f t="shared" si="2"/>
        <v>0</v>
      </c>
      <c r="B28" s="7">
        <f t="shared" si="0"/>
        <v>6</v>
      </c>
      <c r="C28" s="7">
        <f t="shared" si="3"/>
        <v>406</v>
      </c>
      <c r="D28" s="822">
        <f t="shared" si="10"/>
        <v>27</v>
      </c>
      <c r="E28" s="822">
        <f t="shared" si="1"/>
        <v>4</v>
      </c>
      <c r="F28" s="820">
        <f t="shared" si="4"/>
        <v>6</v>
      </c>
      <c r="G28" s="821">
        <v>7</v>
      </c>
      <c r="H28" s="821">
        <v>6</v>
      </c>
      <c r="I28" s="524"/>
      <c r="J28" s="523">
        <v>28</v>
      </c>
      <c r="K28" s="29" t="str">
        <f t="shared" si="5"/>
        <v>F</v>
      </c>
      <c r="L28" s="7" t="str">
        <f t="shared" si="6"/>
        <v/>
      </c>
      <c r="P28" s="7">
        <f>$AA$3</f>
        <v>1</v>
      </c>
      <c r="Q28" s="7">
        <f>$AA$4</f>
        <v>2</v>
      </c>
      <c r="R28" s="7">
        <f>$AA$5</f>
        <v>6</v>
      </c>
      <c r="S28" s="7">
        <f>$AA$6</f>
        <v>5</v>
      </c>
      <c r="T28" s="7">
        <f>$AA$7</f>
        <v>6</v>
      </c>
      <c r="U28" s="7">
        <f>$AA$8</f>
        <v>7</v>
      </c>
      <c r="V28" s="7">
        <f>$AA$9</f>
        <v>4</v>
      </c>
      <c r="W28" s="7" t="str">
        <f>$AA$10</f>
        <v/>
      </c>
      <c r="X28" s="7" t="str">
        <f>$AA$11</f>
        <v/>
      </c>
      <c r="Y28" s="7" t="str">
        <f>$AA$12</f>
        <v/>
      </c>
      <c r="Z28" s="7" t="str">
        <f>$AA$13</f>
        <v/>
      </c>
      <c r="AA28" s="7" t="str">
        <f>$AA$14</f>
        <v/>
      </c>
      <c r="AB28" s="7" t="str">
        <f>$AA$15</f>
        <v/>
      </c>
      <c r="AC28" s="7" t="str">
        <f>$AA$16</f>
        <v/>
      </c>
      <c r="AD28" s="7" t="str">
        <f>$AA$17</f>
        <v/>
      </c>
      <c r="AE28" s="7" t="str">
        <f>$AA$18</f>
        <v/>
      </c>
      <c r="AF28" s="7" t="str">
        <f>$AA$19</f>
        <v/>
      </c>
      <c r="AG28" s="7" t="str">
        <f>$AA$20</f>
        <v/>
      </c>
      <c r="AH28" s="7" t="str">
        <f>$AA$21</f>
        <v/>
      </c>
      <c r="AI28" s="7" t="str">
        <f>$AA$22</f>
        <v/>
      </c>
      <c r="CR28" s="7">
        <f t="shared" si="8"/>
        <v>0</v>
      </c>
      <c r="CS28" s="7" t="str">
        <f t="shared" si="9"/>
        <v>4-06</v>
      </c>
      <c r="CT28" s="458">
        <v>28</v>
      </c>
    </row>
    <row r="29" spans="1:98" x14ac:dyDescent="0.2">
      <c r="A29" s="7">
        <f t="shared" si="2"/>
        <v>0</v>
      </c>
      <c r="B29" s="7">
        <f t="shared" si="0"/>
        <v>7</v>
      </c>
      <c r="C29" s="7">
        <f t="shared" si="3"/>
        <v>407</v>
      </c>
      <c r="D29" s="822">
        <f t="shared" si="10"/>
        <v>28</v>
      </c>
      <c r="E29" s="822">
        <f t="shared" si="1"/>
        <v>4</v>
      </c>
      <c r="F29" s="820">
        <f t="shared" si="4"/>
        <v>3</v>
      </c>
      <c r="G29" s="821">
        <v>1</v>
      </c>
      <c r="H29" s="821">
        <v>3</v>
      </c>
      <c r="I29" s="524"/>
      <c r="J29" s="523">
        <v>29</v>
      </c>
      <c r="K29" s="29" t="str">
        <f t="shared" si="5"/>
        <v>C</v>
      </c>
      <c r="L29" s="7" t="str">
        <f t="shared" si="6"/>
        <v/>
      </c>
      <c r="P29" s="7">
        <f>$Z$3</f>
        <v>3</v>
      </c>
      <c r="Q29" s="7">
        <f>$Z$4</f>
        <v>6</v>
      </c>
      <c r="R29" s="7">
        <f>$Z$5</f>
        <v>2</v>
      </c>
      <c r="S29" s="7">
        <f>$Z$6</f>
        <v>7</v>
      </c>
      <c r="T29" s="7">
        <f>$Z$7</f>
        <v>4</v>
      </c>
      <c r="U29" s="7">
        <f>$Z$8</f>
        <v>1</v>
      </c>
      <c r="V29" s="7">
        <f>$Z$9</f>
        <v>5</v>
      </c>
      <c r="W29" s="7" t="str">
        <f>$Z$10</f>
        <v/>
      </c>
      <c r="X29" s="7" t="str">
        <f>$Z$11</f>
        <v/>
      </c>
      <c r="Y29" s="7" t="str">
        <f>$Z$12</f>
        <v/>
      </c>
      <c r="Z29" s="7" t="str">
        <f>$Z$13</f>
        <v/>
      </c>
      <c r="AA29" s="7" t="str">
        <f>$Z$14</f>
        <v/>
      </c>
      <c r="AB29" s="7" t="str">
        <f>$Z$15</f>
        <v/>
      </c>
      <c r="AC29" s="7" t="str">
        <f>$Z$16</f>
        <v/>
      </c>
      <c r="AD29" s="7" t="str">
        <f>$Z$17</f>
        <v/>
      </c>
      <c r="AE29" s="7" t="str">
        <f>$Z$18</f>
        <v/>
      </c>
      <c r="AF29" s="7" t="str">
        <f>$Z$19</f>
        <v/>
      </c>
      <c r="AG29" s="7" t="str">
        <f>$Z$20</f>
        <v/>
      </c>
      <c r="AH29" s="7" t="str">
        <f>$Z$21</f>
        <v/>
      </c>
      <c r="AI29" s="7" t="str">
        <f>$Z$22</f>
        <v/>
      </c>
      <c r="CR29" s="7">
        <f t="shared" si="8"/>
        <v>0</v>
      </c>
      <c r="CS29" s="7" t="str">
        <f t="shared" si="9"/>
        <v>4-03</v>
      </c>
      <c r="CT29" s="458">
        <v>29</v>
      </c>
    </row>
    <row r="30" spans="1:98" x14ac:dyDescent="0.2">
      <c r="A30" s="7">
        <f t="shared" si="2"/>
        <v>0</v>
      </c>
      <c r="B30" s="7" t="e">
        <f t="shared" si="0"/>
        <v>#VALUE!</v>
      </c>
      <c r="C30" s="7" t="e">
        <f t="shared" si="3"/>
        <v>#VALUE!</v>
      </c>
      <c r="D30" s="822" t="str">
        <f t="shared" si="10"/>
        <v/>
      </c>
      <c r="E30" s="822" t="str">
        <f t="shared" si="1"/>
        <v/>
      </c>
      <c r="F30" s="525" t="str">
        <f t="shared" si="4"/>
        <v/>
      </c>
      <c r="G30" s="524"/>
      <c r="H30" s="524"/>
      <c r="I30" s="524"/>
      <c r="J30" s="523">
        <v>30</v>
      </c>
      <c r="K30" s="29" t="e">
        <f t="shared" si="5"/>
        <v>#N/A</v>
      </c>
      <c r="L30" s="7" t="str">
        <f t="shared" si="6"/>
        <v/>
      </c>
      <c r="P30" s="7">
        <f>$Y$3</f>
        <v>7</v>
      </c>
      <c r="Q30" s="7">
        <f>$Y$4</f>
        <v>4</v>
      </c>
      <c r="R30" s="7">
        <f>$Y$5</f>
        <v>3</v>
      </c>
      <c r="S30" s="7">
        <f>$Y$6</f>
        <v>1</v>
      </c>
      <c r="T30" s="7">
        <f>$Y$7</f>
        <v>3</v>
      </c>
      <c r="U30" s="7">
        <f>$Y$8</f>
        <v>5</v>
      </c>
      <c r="V30" s="7">
        <f>$Y$9</f>
        <v>2</v>
      </c>
      <c r="W30" s="7" t="str">
        <f>$Y$10</f>
        <v/>
      </c>
      <c r="X30" s="7" t="str">
        <f>$Y$11</f>
        <v/>
      </c>
      <c r="Y30" s="7" t="str">
        <f>$Y$12</f>
        <v/>
      </c>
      <c r="Z30" s="7" t="str">
        <f>$Y$13</f>
        <v/>
      </c>
      <c r="AA30" s="7" t="str">
        <f>$Y$14</f>
        <v/>
      </c>
      <c r="AB30" s="7" t="str">
        <f>$Y$15</f>
        <v/>
      </c>
      <c r="AC30" s="7" t="str">
        <f>$Y$16</f>
        <v/>
      </c>
      <c r="AD30" s="7" t="str">
        <f>$Y$17</f>
        <v/>
      </c>
      <c r="AE30" s="7" t="str">
        <f>$Y$18</f>
        <v/>
      </c>
      <c r="AF30" s="7" t="str">
        <f>$Y$19</f>
        <v/>
      </c>
      <c r="AG30" s="7" t="str">
        <f>$Y$20</f>
        <v/>
      </c>
      <c r="AH30" s="7" t="str">
        <f>$Y$21</f>
        <v/>
      </c>
      <c r="AI30" s="7" t="str">
        <f>$Y$22</f>
        <v/>
      </c>
      <c r="CR30" s="7" t="str">
        <f t="shared" si="8"/>
        <v/>
      </c>
      <c r="CS30" s="7" t="str">
        <f t="shared" si="9"/>
        <v/>
      </c>
      <c r="CT30" s="458">
        <v>30</v>
      </c>
    </row>
    <row r="31" spans="1:98" x14ac:dyDescent="0.2">
      <c r="A31" s="7">
        <f t="shared" si="2"/>
        <v>0</v>
      </c>
      <c r="B31" s="7" t="e">
        <f t="shared" si="0"/>
        <v>#VALUE!</v>
      </c>
      <c r="C31" s="7" t="e">
        <f t="shared" si="3"/>
        <v>#VALUE!</v>
      </c>
      <c r="D31" s="822" t="str">
        <f t="shared" si="10"/>
        <v/>
      </c>
      <c r="E31" s="822" t="str">
        <f t="shared" si="1"/>
        <v/>
      </c>
      <c r="F31" s="525" t="str">
        <f t="shared" si="4"/>
        <v/>
      </c>
      <c r="G31" s="524"/>
      <c r="H31" s="524"/>
      <c r="I31" s="524"/>
      <c r="J31" s="523">
        <v>31</v>
      </c>
      <c r="K31" s="29" t="e">
        <f t="shared" si="5"/>
        <v>#N/A</v>
      </c>
      <c r="L31" s="7" t="str">
        <f t="shared" si="6"/>
        <v/>
      </c>
      <c r="CR31" s="7" t="str">
        <f t="shared" si="8"/>
        <v/>
      </c>
      <c r="CS31" s="7" t="str">
        <f t="shared" si="9"/>
        <v/>
      </c>
      <c r="CT31" s="458">
        <v>31</v>
      </c>
    </row>
    <row r="32" spans="1:98" x14ac:dyDescent="0.2">
      <c r="A32" s="7">
        <f t="shared" si="2"/>
        <v>0</v>
      </c>
      <c r="B32" s="7" t="e">
        <f t="shared" si="0"/>
        <v>#VALUE!</v>
      </c>
      <c r="C32" s="7" t="e">
        <f t="shared" si="3"/>
        <v>#VALUE!</v>
      </c>
      <c r="D32" s="822" t="str">
        <f t="shared" si="10"/>
        <v/>
      </c>
      <c r="E32" s="822" t="str">
        <f t="shared" si="1"/>
        <v/>
      </c>
      <c r="F32" s="525" t="str">
        <f t="shared" si="4"/>
        <v/>
      </c>
      <c r="G32" s="524"/>
      <c r="H32" s="524"/>
      <c r="I32" s="524"/>
      <c r="J32" s="523">
        <v>32</v>
      </c>
      <c r="K32" s="29" t="e">
        <f t="shared" si="5"/>
        <v>#N/A</v>
      </c>
      <c r="L32" s="7" t="str">
        <f t="shared" si="6"/>
        <v/>
      </c>
      <c r="O32" s="14">
        <v>3</v>
      </c>
      <c r="P32" s="7">
        <f t="shared" ref="P32:P46" si="17">$Y$3</f>
        <v>7</v>
      </c>
      <c r="Q32" s="7">
        <f t="shared" ref="Q32:Q46" si="18">$Y$4</f>
        <v>4</v>
      </c>
      <c r="R32" s="7">
        <f t="shared" ref="R32:R46" si="19">$Y$5</f>
        <v>3</v>
      </c>
      <c r="S32" s="7">
        <f>$Z$3</f>
        <v>3</v>
      </c>
      <c r="T32" s="7">
        <f>$Z$4</f>
        <v>6</v>
      </c>
      <c r="U32" s="7">
        <f>$Z$5</f>
        <v>2</v>
      </c>
      <c r="V32" s="17"/>
      <c r="W32" s="16"/>
      <c r="X32" s="16"/>
      <c r="Y32" s="16"/>
      <c r="Z32" s="16"/>
      <c r="AA32" s="16"/>
      <c r="AB32" s="16"/>
      <c r="AC32" s="16"/>
      <c r="AD32" s="16"/>
      <c r="AE32" s="16"/>
      <c r="AF32" s="16"/>
      <c r="AG32" s="16"/>
      <c r="AH32" s="16"/>
      <c r="AI32" s="16"/>
      <c r="AM32" s="15"/>
      <c r="AN32" s="15"/>
      <c r="AO32" s="15"/>
      <c r="AP32" s="15"/>
      <c r="AQ32" s="15"/>
      <c r="AR32" s="15"/>
      <c r="AS32" s="15"/>
      <c r="AT32" s="15"/>
      <c r="AU32" s="15"/>
      <c r="AV32" s="15"/>
      <c r="AW32" s="15"/>
      <c r="AX32" s="15"/>
      <c r="AY32" s="15"/>
      <c r="AZ32" s="15"/>
      <c r="BA32" s="15"/>
      <c r="BB32" s="15"/>
      <c r="BC32" s="15"/>
      <c r="BD32" s="7">
        <f t="shared" ref="BD32:BD46" si="20">$AA$3</f>
        <v>1</v>
      </c>
      <c r="BE32" s="7">
        <f t="shared" ref="BE32:BE46" si="21">$AA$4</f>
        <v>2</v>
      </c>
      <c r="BF32" s="7">
        <f t="shared" ref="BF32:BF46" si="22">$AA$5</f>
        <v>6</v>
      </c>
      <c r="BG32" s="7">
        <f>$AB$3</f>
        <v>5</v>
      </c>
      <c r="BH32" s="7">
        <f>$AB$4</f>
        <v>7</v>
      </c>
      <c r="BI32" s="7">
        <f>$AB$5</f>
        <v>1</v>
      </c>
      <c r="BJ32" s="17"/>
      <c r="BK32" s="16"/>
      <c r="BL32" s="16"/>
      <c r="BM32" s="16"/>
      <c r="BN32" s="16"/>
      <c r="BO32" s="16"/>
      <c r="BP32" s="16"/>
      <c r="BQ32" s="16"/>
      <c r="BR32" s="16"/>
      <c r="BS32" s="16"/>
      <c r="BT32" s="16"/>
      <c r="BU32" s="16"/>
      <c r="BV32" s="16"/>
      <c r="BW32" s="16"/>
      <c r="CA32" s="15"/>
      <c r="CB32" s="15"/>
      <c r="CC32" s="15"/>
      <c r="CD32" s="15"/>
      <c r="CE32" s="15"/>
      <c r="CF32" s="15"/>
      <c r="CG32" s="15"/>
      <c r="CH32" s="15"/>
      <c r="CI32" s="15"/>
      <c r="CJ32" s="15"/>
      <c r="CK32" s="15"/>
      <c r="CL32" s="15"/>
      <c r="CM32" s="15"/>
      <c r="CN32" s="15"/>
      <c r="CO32" s="15"/>
      <c r="CP32" s="15"/>
      <c r="CQ32" s="15"/>
      <c r="CR32" s="7" t="str">
        <f t="shared" si="8"/>
        <v/>
      </c>
      <c r="CS32" s="7" t="str">
        <f t="shared" si="9"/>
        <v/>
      </c>
      <c r="CT32" s="458">
        <v>32</v>
      </c>
    </row>
    <row r="33" spans="1:98" x14ac:dyDescent="0.2">
      <c r="A33" s="7">
        <f t="shared" si="2"/>
        <v>0</v>
      </c>
      <c r="B33" s="7" t="e">
        <f t="shared" si="0"/>
        <v>#VALUE!</v>
      </c>
      <c r="C33" s="7" t="e">
        <f t="shared" si="3"/>
        <v>#VALUE!</v>
      </c>
      <c r="D33" s="822" t="str">
        <f t="shared" si="10"/>
        <v/>
      </c>
      <c r="E33" s="822" t="str">
        <f t="shared" si="1"/>
        <v/>
      </c>
      <c r="F33" s="525" t="str">
        <f t="shared" si="4"/>
        <v/>
      </c>
      <c r="G33" s="524"/>
      <c r="H33" s="524"/>
      <c r="I33" s="524"/>
      <c r="J33" s="523">
        <v>33</v>
      </c>
      <c r="K33" s="29" t="e">
        <f t="shared" si="5"/>
        <v>#N/A</v>
      </c>
      <c r="L33" s="7" t="str">
        <f t="shared" si="6"/>
        <v/>
      </c>
      <c r="O33" s="14">
        <v>4</v>
      </c>
      <c r="P33" s="7">
        <f t="shared" si="17"/>
        <v>7</v>
      </c>
      <c r="Q33" s="7">
        <f t="shared" si="18"/>
        <v>4</v>
      </c>
      <c r="R33" s="7">
        <f t="shared" si="19"/>
        <v>3</v>
      </c>
      <c r="S33" s="7">
        <f t="shared" ref="S33:S46" si="23">$Y$6</f>
        <v>1</v>
      </c>
      <c r="T33" s="7">
        <f>$Z$3</f>
        <v>3</v>
      </c>
      <c r="U33" s="7">
        <f>$Z$4</f>
        <v>6</v>
      </c>
      <c r="V33" s="7">
        <f>$Z$5</f>
        <v>2</v>
      </c>
      <c r="W33" s="7">
        <f>$Z$6</f>
        <v>7</v>
      </c>
      <c r="BD33" s="7">
        <f t="shared" si="20"/>
        <v>1</v>
      </c>
      <c r="BE33" s="7">
        <f t="shared" si="21"/>
        <v>2</v>
      </c>
      <c r="BF33" s="7">
        <f t="shared" si="22"/>
        <v>6</v>
      </c>
      <c r="BG33" s="7">
        <f t="shared" ref="BG33:BG46" si="24">$AA$6</f>
        <v>5</v>
      </c>
      <c r="BH33" s="7">
        <f>$AB$3</f>
        <v>5</v>
      </c>
      <c r="BI33" s="7">
        <f>$AB$4</f>
        <v>7</v>
      </c>
      <c r="BJ33" s="7">
        <f>$AB$5</f>
        <v>1</v>
      </c>
      <c r="BK33" s="7">
        <f>$AB$6</f>
        <v>4</v>
      </c>
      <c r="CR33" s="7" t="str">
        <f t="shared" si="8"/>
        <v/>
      </c>
      <c r="CS33" s="7" t="str">
        <f t="shared" si="9"/>
        <v/>
      </c>
      <c r="CT33" s="458">
        <v>33</v>
      </c>
    </row>
    <row r="34" spans="1:98" x14ac:dyDescent="0.2">
      <c r="A34" s="7">
        <f t="shared" si="2"/>
        <v>0</v>
      </c>
      <c r="B34" s="7" t="e">
        <f t="shared" ref="B34:B65" si="25">IF(E34&gt;3,Q$1-(4*Q$1-D34),IF(E34&gt;2,Q$1-(3*Q$1-D34),IF(E34&gt;1,Q$1-(2*Q$1-D34),D34)))</f>
        <v>#VALUE!</v>
      </c>
      <c r="C34" s="7" t="e">
        <f t="shared" si="3"/>
        <v>#VALUE!</v>
      </c>
      <c r="D34" s="822" t="str">
        <f t="shared" si="10"/>
        <v/>
      </c>
      <c r="E34" s="822" t="str">
        <f t="shared" ref="E34:E65" si="26">IF(ISNUMBER(D34),ROUNDUP(D34/Q$1,0),"")</f>
        <v/>
      </c>
      <c r="F34" s="525" t="str">
        <f t="shared" si="4"/>
        <v/>
      </c>
      <c r="G34" s="524"/>
      <c r="H34" s="524"/>
      <c r="I34" s="524"/>
      <c r="J34" s="523">
        <v>34</v>
      </c>
      <c r="K34" s="29" t="e">
        <f t="shared" si="5"/>
        <v>#N/A</v>
      </c>
      <c r="L34" s="7" t="str">
        <f t="shared" si="6"/>
        <v/>
      </c>
      <c r="O34" s="14">
        <v>5</v>
      </c>
      <c r="P34" s="7">
        <f t="shared" si="17"/>
        <v>7</v>
      </c>
      <c r="Q34" s="7">
        <f t="shared" si="18"/>
        <v>4</v>
      </c>
      <c r="R34" s="7">
        <f t="shared" si="19"/>
        <v>3</v>
      </c>
      <c r="S34" s="7">
        <f t="shared" si="23"/>
        <v>1</v>
      </c>
      <c r="T34" s="7">
        <f t="shared" ref="T34:T46" si="27">$Y$7</f>
        <v>3</v>
      </c>
      <c r="U34" s="7">
        <f>$Z$3</f>
        <v>3</v>
      </c>
      <c r="V34" s="7">
        <f>$Z$4</f>
        <v>6</v>
      </c>
      <c r="W34" s="7">
        <f>$Z$5</f>
        <v>2</v>
      </c>
      <c r="X34" s="7">
        <f>$Z$6</f>
        <v>7</v>
      </c>
      <c r="Y34" s="7">
        <f>$Z$7</f>
        <v>4</v>
      </c>
      <c r="BD34" s="7">
        <f t="shared" si="20"/>
        <v>1</v>
      </c>
      <c r="BE34" s="7">
        <f t="shared" si="21"/>
        <v>2</v>
      </c>
      <c r="BF34" s="7">
        <f t="shared" si="22"/>
        <v>6</v>
      </c>
      <c r="BG34" s="7">
        <f t="shared" si="24"/>
        <v>5</v>
      </c>
      <c r="BH34" s="7">
        <f t="shared" ref="BH34:BH46" si="28">$AA$7</f>
        <v>6</v>
      </c>
      <c r="BI34" s="7">
        <f>$AB$3</f>
        <v>5</v>
      </c>
      <c r="BJ34" s="7">
        <f>$AB$4</f>
        <v>7</v>
      </c>
      <c r="BK34" s="7">
        <f>$AB$5</f>
        <v>1</v>
      </c>
      <c r="BL34" s="7">
        <f>$AB$6</f>
        <v>4</v>
      </c>
      <c r="BM34" s="7">
        <f>$AB$7</f>
        <v>2</v>
      </c>
      <c r="CR34" s="7" t="str">
        <f t="shared" si="8"/>
        <v/>
      </c>
      <c r="CS34" s="7" t="str">
        <f t="shared" si="9"/>
        <v/>
      </c>
      <c r="CT34" s="458">
        <v>34</v>
      </c>
    </row>
    <row r="35" spans="1:98" x14ac:dyDescent="0.2">
      <c r="A35" s="7">
        <f t="shared" si="2"/>
        <v>0</v>
      </c>
      <c r="B35" s="7" t="e">
        <f t="shared" si="25"/>
        <v>#VALUE!</v>
      </c>
      <c r="C35" s="7" t="e">
        <f t="shared" si="3"/>
        <v>#VALUE!</v>
      </c>
      <c r="D35" s="822" t="str">
        <f t="shared" si="10"/>
        <v/>
      </c>
      <c r="E35" s="822" t="str">
        <f t="shared" si="26"/>
        <v/>
      </c>
      <c r="F35" s="525" t="str">
        <f t="shared" si="4"/>
        <v/>
      </c>
      <c r="G35" s="524"/>
      <c r="H35" s="524"/>
      <c r="I35" s="524"/>
      <c r="J35" s="523">
        <v>35</v>
      </c>
      <c r="K35" s="29" t="e">
        <f t="shared" si="5"/>
        <v>#N/A</v>
      </c>
      <c r="L35" s="7" t="str">
        <f t="shared" si="6"/>
        <v/>
      </c>
      <c r="O35" s="14">
        <v>6</v>
      </c>
      <c r="P35" s="7">
        <f t="shared" si="17"/>
        <v>7</v>
      </c>
      <c r="Q35" s="7">
        <f t="shared" si="18"/>
        <v>4</v>
      </c>
      <c r="R35" s="7">
        <f t="shared" si="19"/>
        <v>3</v>
      </c>
      <c r="S35" s="7">
        <f t="shared" si="23"/>
        <v>1</v>
      </c>
      <c r="T35" s="7">
        <f t="shared" si="27"/>
        <v>3</v>
      </c>
      <c r="U35" s="7">
        <f t="shared" ref="U35:U46" si="29">$Y$8</f>
        <v>5</v>
      </c>
      <c r="V35" s="7">
        <f>$Z$3</f>
        <v>3</v>
      </c>
      <c r="W35" s="7">
        <f>$Z$4</f>
        <v>6</v>
      </c>
      <c r="X35" s="7">
        <f>$Z$5</f>
        <v>2</v>
      </c>
      <c r="Y35" s="7">
        <f>$Z$6</f>
        <v>7</v>
      </c>
      <c r="Z35" s="7">
        <f>$Z$7</f>
        <v>4</v>
      </c>
      <c r="AA35" s="7">
        <f>$Z$8</f>
        <v>1</v>
      </c>
      <c r="BD35" s="7">
        <f t="shared" si="20"/>
        <v>1</v>
      </c>
      <c r="BE35" s="7">
        <f t="shared" si="21"/>
        <v>2</v>
      </c>
      <c r="BF35" s="7">
        <f t="shared" si="22"/>
        <v>6</v>
      </c>
      <c r="BG35" s="7">
        <f t="shared" si="24"/>
        <v>5</v>
      </c>
      <c r="BH35" s="7">
        <f t="shared" si="28"/>
        <v>6</v>
      </c>
      <c r="BI35" s="7">
        <f t="shared" ref="BI35:BI46" si="30">$AA$8</f>
        <v>7</v>
      </c>
      <c r="BJ35" s="7">
        <f>$AB$3</f>
        <v>5</v>
      </c>
      <c r="BK35" s="7">
        <f>$AB$4</f>
        <v>7</v>
      </c>
      <c r="BL35" s="7">
        <f>$AB$5</f>
        <v>1</v>
      </c>
      <c r="BM35" s="7">
        <f>$AB$6</f>
        <v>4</v>
      </c>
      <c r="BN35" s="7">
        <f>$AB$7</f>
        <v>2</v>
      </c>
      <c r="BO35" s="7">
        <f>$AB$8</f>
        <v>6</v>
      </c>
      <c r="CR35" s="7" t="str">
        <f t="shared" si="8"/>
        <v/>
      </c>
      <c r="CS35" s="7" t="str">
        <f t="shared" si="9"/>
        <v/>
      </c>
      <c r="CT35" s="458">
        <v>35</v>
      </c>
    </row>
    <row r="36" spans="1:98" x14ac:dyDescent="0.2">
      <c r="A36" s="7">
        <f t="shared" si="2"/>
        <v>0</v>
      </c>
      <c r="B36" s="7" t="e">
        <f t="shared" si="25"/>
        <v>#VALUE!</v>
      </c>
      <c r="C36" s="7" t="e">
        <f t="shared" si="3"/>
        <v>#VALUE!</v>
      </c>
      <c r="D36" s="822" t="str">
        <f t="shared" si="10"/>
        <v/>
      </c>
      <c r="E36" s="822" t="str">
        <f t="shared" si="26"/>
        <v/>
      </c>
      <c r="F36" s="525" t="str">
        <f t="shared" si="4"/>
        <v/>
      </c>
      <c r="G36" s="524"/>
      <c r="H36" s="524"/>
      <c r="I36" s="524"/>
      <c r="J36" s="523">
        <v>36</v>
      </c>
      <c r="K36" s="29" t="e">
        <f t="shared" si="5"/>
        <v>#N/A</v>
      </c>
      <c r="L36" s="7" t="str">
        <f t="shared" si="6"/>
        <v/>
      </c>
      <c r="O36" s="14">
        <v>7</v>
      </c>
      <c r="P36" s="7">
        <f t="shared" si="17"/>
        <v>7</v>
      </c>
      <c r="Q36" s="7">
        <f t="shared" si="18"/>
        <v>4</v>
      </c>
      <c r="R36" s="7">
        <f t="shared" si="19"/>
        <v>3</v>
      </c>
      <c r="S36" s="7">
        <f t="shared" si="23"/>
        <v>1</v>
      </c>
      <c r="T36" s="7">
        <f t="shared" si="27"/>
        <v>3</v>
      </c>
      <c r="U36" s="7">
        <f t="shared" si="29"/>
        <v>5</v>
      </c>
      <c r="V36" s="7">
        <f t="shared" ref="V36:V46" si="31">$Y$9</f>
        <v>2</v>
      </c>
      <c r="W36" s="7">
        <f>$Z$3</f>
        <v>3</v>
      </c>
      <c r="X36" s="7">
        <f>$Z$4</f>
        <v>6</v>
      </c>
      <c r="Y36" s="7">
        <f>$Z$5</f>
        <v>2</v>
      </c>
      <c r="Z36" s="7">
        <f>$Z$6</f>
        <v>7</v>
      </c>
      <c r="AA36" s="7">
        <f>$Z$7</f>
        <v>4</v>
      </c>
      <c r="AB36" s="7">
        <f>$Z$8</f>
        <v>1</v>
      </c>
      <c r="AC36" s="7">
        <f>$Z$9</f>
        <v>5</v>
      </c>
      <c r="BD36" s="7">
        <f t="shared" si="20"/>
        <v>1</v>
      </c>
      <c r="BE36" s="7">
        <f t="shared" si="21"/>
        <v>2</v>
      </c>
      <c r="BF36" s="7">
        <f t="shared" si="22"/>
        <v>6</v>
      </c>
      <c r="BG36" s="7">
        <f t="shared" si="24"/>
        <v>5</v>
      </c>
      <c r="BH36" s="7">
        <f t="shared" si="28"/>
        <v>6</v>
      </c>
      <c r="BI36" s="7">
        <f t="shared" si="30"/>
        <v>7</v>
      </c>
      <c r="BJ36" s="7">
        <f t="shared" ref="BJ36:BJ46" si="32">$AA$9</f>
        <v>4</v>
      </c>
      <c r="BK36" s="7">
        <f>$AB$3</f>
        <v>5</v>
      </c>
      <c r="BL36" s="7">
        <f>$AB$4</f>
        <v>7</v>
      </c>
      <c r="BM36" s="7">
        <f>$AB$5</f>
        <v>1</v>
      </c>
      <c r="BN36" s="7">
        <f>$AB$6</f>
        <v>4</v>
      </c>
      <c r="BO36" s="7">
        <f>$AB$7</f>
        <v>2</v>
      </c>
      <c r="BP36" s="7">
        <f>$AB$8</f>
        <v>6</v>
      </c>
      <c r="BQ36" s="7">
        <f>$AB$9</f>
        <v>3</v>
      </c>
      <c r="CR36" s="7" t="str">
        <f t="shared" si="8"/>
        <v/>
      </c>
      <c r="CS36" s="7" t="str">
        <f t="shared" si="9"/>
        <v/>
      </c>
      <c r="CT36" s="458">
        <v>36</v>
      </c>
    </row>
    <row r="37" spans="1:98" x14ac:dyDescent="0.2">
      <c r="A37" s="7">
        <f t="shared" si="2"/>
        <v>0</v>
      </c>
      <c r="B37" s="7" t="e">
        <f t="shared" si="25"/>
        <v>#VALUE!</v>
      </c>
      <c r="C37" s="7" t="e">
        <f t="shared" si="3"/>
        <v>#VALUE!</v>
      </c>
      <c r="D37" s="822" t="str">
        <f t="shared" si="10"/>
        <v/>
      </c>
      <c r="E37" s="822" t="str">
        <f t="shared" si="26"/>
        <v/>
      </c>
      <c r="F37" s="525" t="str">
        <f t="shared" si="4"/>
        <v/>
      </c>
      <c r="G37" s="524"/>
      <c r="H37" s="524"/>
      <c r="I37" s="524"/>
      <c r="J37" s="523">
        <v>37</v>
      </c>
      <c r="K37" s="29" t="e">
        <f t="shared" si="5"/>
        <v>#N/A</v>
      </c>
      <c r="L37" s="7" t="str">
        <f t="shared" si="6"/>
        <v/>
      </c>
      <c r="O37" s="14">
        <v>8</v>
      </c>
      <c r="P37" s="7">
        <f t="shared" si="17"/>
        <v>7</v>
      </c>
      <c r="Q37" s="7">
        <f t="shared" si="18"/>
        <v>4</v>
      </c>
      <c r="R37" s="7">
        <f t="shared" si="19"/>
        <v>3</v>
      </c>
      <c r="S37" s="7">
        <f t="shared" si="23"/>
        <v>1</v>
      </c>
      <c r="T37" s="7">
        <f t="shared" si="27"/>
        <v>3</v>
      </c>
      <c r="U37" s="7">
        <f t="shared" si="29"/>
        <v>5</v>
      </c>
      <c r="V37" s="7">
        <f t="shared" si="31"/>
        <v>2</v>
      </c>
      <c r="W37" s="7" t="str">
        <f t="shared" ref="W37:W46" si="33">$Y$10</f>
        <v/>
      </c>
      <c r="X37" s="7">
        <f>$Z$3</f>
        <v>3</v>
      </c>
      <c r="Y37" s="7">
        <f>$Z$4</f>
        <v>6</v>
      </c>
      <c r="Z37" s="7">
        <f>$Z$5</f>
        <v>2</v>
      </c>
      <c r="AA37" s="7">
        <f>$Z$6</f>
        <v>7</v>
      </c>
      <c r="AB37" s="7">
        <f>$Z$7</f>
        <v>4</v>
      </c>
      <c r="AC37" s="7">
        <f>$Z$8</f>
        <v>1</v>
      </c>
      <c r="AD37" s="7">
        <f>$Z$9</f>
        <v>5</v>
      </c>
      <c r="AE37" s="7" t="str">
        <f>$Z$10</f>
        <v/>
      </c>
      <c r="BD37" s="7">
        <f t="shared" si="20"/>
        <v>1</v>
      </c>
      <c r="BE37" s="7">
        <f t="shared" si="21"/>
        <v>2</v>
      </c>
      <c r="BF37" s="7">
        <f t="shared" si="22"/>
        <v>6</v>
      </c>
      <c r="BG37" s="7">
        <f t="shared" si="24"/>
        <v>5</v>
      </c>
      <c r="BH37" s="7">
        <f t="shared" si="28"/>
        <v>6</v>
      </c>
      <c r="BI37" s="7">
        <f t="shared" si="30"/>
        <v>7</v>
      </c>
      <c r="BJ37" s="7">
        <f t="shared" si="32"/>
        <v>4</v>
      </c>
      <c r="BK37" s="7" t="str">
        <f t="shared" ref="BK37:BK46" si="34">$AA$10</f>
        <v/>
      </c>
      <c r="BL37" s="7">
        <f>$AB$3</f>
        <v>5</v>
      </c>
      <c r="BM37" s="7">
        <f>$AB$4</f>
        <v>7</v>
      </c>
      <c r="BN37" s="7">
        <f>$AB$5</f>
        <v>1</v>
      </c>
      <c r="BO37" s="7">
        <f>$AB$6</f>
        <v>4</v>
      </c>
      <c r="BP37" s="7">
        <f>$AB$7</f>
        <v>2</v>
      </c>
      <c r="BQ37" s="7">
        <f>$AB$8</f>
        <v>6</v>
      </c>
      <c r="BR37" s="7">
        <f>$AB$9</f>
        <v>3</v>
      </c>
      <c r="BS37" s="7" t="str">
        <f>$AB$10</f>
        <v/>
      </c>
      <c r="CR37" s="7" t="str">
        <f t="shared" si="8"/>
        <v/>
      </c>
      <c r="CS37" s="7" t="str">
        <f t="shared" si="9"/>
        <v/>
      </c>
      <c r="CT37" s="458">
        <v>37</v>
      </c>
    </row>
    <row r="38" spans="1:98" x14ac:dyDescent="0.2">
      <c r="A38" s="7">
        <f t="shared" si="2"/>
        <v>0</v>
      </c>
      <c r="B38" s="7" t="e">
        <f t="shared" si="25"/>
        <v>#VALUE!</v>
      </c>
      <c r="C38" s="7" t="e">
        <f t="shared" si="3"/>
        <v>#VALUE!</v>
      </c>
      <c r="D38" s="822" t="str">
        <f t="shared" si="10"/>
        <v/>
      </c>
      <c r="E38" s="822" t="str">
        <f t="shared" si="26"/>
        <v/>
      </c>
      <c r="F38" s="525" t="str">
        <f t="shared" si="4"/>
        <v/>
      </c>
      <c r="G38" s="524"/>
      <c r="H38" s="524"/>
      <c r="I38" s="524"/>
      <c r="J38" s="523">
        <v>38</v>
      </c>
      <c r="K38" s="29" t="e">
        <f t="shared" si="5"/>
        <v>#N/A</v>
      </c>
      <c r="L38" s="7" t="str">
        <f t="shared" si="6"/>
        <v/>
      </c>
      <c r="O38" s="14">
        <v>9</v>
      </c>
      <c r="P38" s="7">
        <f t="shared" si="17"/>
        <v>7</v>
      </c>
      <c r="Q38" s="7">
        <f t="shared" si="18"/>
        <v>4</v>
      </c>
      <c r="R38" s="7">
        <f t="shared" si="19"/>
        <v>3</v>
      </c>
      <c r="S38" s="7">
        <f t="shared" si="23"/>
        <v>1</v>
      </c>
      <c r="T38" s="7">
        <f t="shared" si="27"/>
        <v>3</v>
      </c>
      <c r="U38" s="7">
        <f t="shared" si="29"/>
        <v>5</v>
      </c>
      <c r="V38" s="7">
        <f t="shared" si="31"/>
        <v>2</v>
      </c>
      <c r="W38" s="7" t="str">
        <f t="shared" si="33"/>
        <v/>
      </c>
      <c r="X38" s="7" t="str">
        <f t="shared" ref="X38:X46" si="35">$Y$11</f>
        <v/>
      </c>
      <c r="Y38" s="7">
        <f>$Z$3</f>
        <v>3</v>
      </c>
      <c r="Z38" s="7">
        <f>$Z$4</f>
        <v>6</v>
      </c>
      <c r="AA38" s="7">
        <f>$Z$5</f>
        <v>2</v>
      </c>
      <c r="AB38" s="7">
        <f>$Z$6</f>
        <v>7</v>
      </c>
      <c r="AC38" s="7">
        <f>$Z$7</f>
        <v>4</v>
      </c>
      <c r="AD38" s="7">
        <f>$Z$8</f>
        <v>1</v>
      </c>
      <c r="AE38" s="7">
        <f>$Z$9</f>
        <v>5</v>
      </c>
      <c r="AF38" s="7" t="str">
        <f>$Z$10</f>
        <v/>
      </c>
      <c r="AG38" s="7" t="str">
        <f>$Z$11</f>
        <v/>
      </c>
      <c r="BD38" s="7">
        <f t="shared" si="20"/>
        <v>1</v>
      </c>
      <c r="BE38" s="7">
        <f t="shared" si="21"/>
        <v>2</v>
      </c>
      <c r="BF38" s="7">
        <f t="shared" si="22"/>
        <v>6</v>
      </c>
      <c r="BG38" s="7">
        <f t="shared" si="24"/>
        <v>5</v>
      </c>
      <c r="BH38" s="7">
        <f t="shared" si="28"/>
        <v>6</v>
      </c>
      <c r="BI38" s="7">
        <f t="shared" si="30"/>
        <v>7</v>
      </c>
      <c r="BJ38" s="7">
        <f t="shared" si="32"/>
        <v>4</v>
      </c>
      <c r="BK38" s="7" t="str">
        <f t="shared" si="34"/>
        <v/>
      </c>
      <c r="BL38" s="7" t="str">
        <f t="shared" ref="BL38:BL46" si="36">$AA$11</f>
        <v/>
      </c>
      <c r="BM38" s="7">
        <f>$AB$3</f>
        <v>5</v>
      </c>
      <c r="BN38" s="7">
        <f>$AB$4</f>
        <v>7</v>
      </c>
      <c r="BO38" s="7">
        <f>$AB$5</f>
        <v>1</v>
      </c>
      <c r="BP38" s="7">
        <f>$AB$6</f>
        <v>4</v>
      </c>
      <c r="BQ38" s="7">
        <f>$AB$7</f>
        <v>2</v>
      </c>
      <c r="BR38" s="7">
        <f>$AB$8</f>
        <v>6</v>
      </c>
      <c r="BS38" s="7">
        <f>$AB$9</f>
        <v>3</v>
      </c>
      <c r="BT38" s="7" t="str">
        <f>$AB$10</f>
        <v/>
      </c>
      <c r="BU38" s="7" t="str">
        <f>$AB$11</f>
        <v/>
      </c>
      <c r="CR38" s="7" t="str">
        <f t="shared" si="8"/>
        <v/>
      </c>
      <c r="CS38" s="7" t="str">
        <f t="shared" si="9"/>
        <v/>
      </c>
      <c r="CT38" s="458">
        <v>38</v>
      </c>
    </row>
    <row r="39" spans="1:98" x14ac:dyDescent="0.2">
      <c r="A39" s="7">
        <f t="shared" si="2"/>
        <v>0</v>
      </c>
      <c r="B39" s="7" t="e">
        <f t="shared" si="25"/>
        <v>#VALUE!</v>
      </c>
      <c r="C39" s="7" t="e">
        <f t="shared" si="3"/>
        <v>#VALUE!</v>
      </c>
      <c r="D39" s="822" t="str">
        <f t="shared" si="10"/>
        <v/>
      </c>
      <c r="E39" s="822" t="str">
        <f t="shared" si="26"/>
        <v/>
      </c>
      <c r="F39" s="525" t="str">
        <f t="shared" si="4"/>
        <v/>
      </c>
      <c r="G39" s="524"/>
      <c r="H39" s="524"/>
      <c r="I39" s="524"/>
      <c r="J39" s="523">
        <v>39</v>
      </c>
      <c r="K39" s="29" t="e">
        <f t="shared" si="5"/>
        <v>#N/A</v>
      </c>
      <c r="L39" s="7" t="str">
        <f t="shared" si="6"/>
        <v/>
      </c>
      <c r="O39" s="14">
        <v>10</v>
      </c>
      <c r="P39" s="7">
        <f t="shared" si="17"/>
        <v>7</v>
      </c>
      <c r="Q39" s="7">
        <f t="shared" si="18"/>
        <v>4</v>
      </c>
      <c r="R39" s="7">
        <f t="shared" si="19"/>
        <v>3</v>
      </c>
      <c r="S39" s="7">
        <f t="shared" si="23"/>
        <v>1</v>
      </c>
      <c r="T39" s="7">
        <f t="shared" si="27"/>
        <v>3</v>
      </c>
      <c r="U39" s="7">
        <f t="shared" si="29"/>
        <v>5</v>
      </c>
      <c r="V39" s="7">
        <f t="shared" si="31"/>
        <v>2</v>
      </c>
      <c r="W39" s="7" t="str">
        <f t="shared" si="33"/>
        <v/>
      </c>
      <c r="X39" s="7" t="str">
        <f t="shared" si="35"/>
        <v/>
      </c>
      <c r="Y39" s="7" t="str">
        <f t="shared" ref="Y39:Y46" si="37">$Y$12</f>
        <v/>
      </c>
      <c r="Z39" s="7">
        <f>$Z$3</f>
        <v>3</v>
      </c>
      <c r="AA39" s="7">
        <f>$Z$4</f>
        <v>6</v>
      </c>
      <c r="AB39" s="7">
        <f>$Z$5</f>
        <v>2</v>
      </c>
      <c r="AC39" s="7">
        <f>$Z$6</f>
        <v>7</v>
      </c>
      <c r="AD39" s="7">
        <f>$Z$7</f>
        <v>4</v>
      </c>
      <c r="AE39" s="7">
        <f>$Z$8</f>
        <v>1</v>
      </c>
      <c r="AF39" s="7">
        <f>$Z$9</f>
        <v>5</v>
      </c>
      <c r="AG39" s="7" t="str">
        <f>$Z$10</f>
        <v/>
      </c>
      <c r="AH39" s="7" t="str">
        <f>$Z$11</f>
        <v/>
      </c>
      <c r="AI39" s="7" t="str">
        <f>$Z$12</f>
        <v/>
      </c>
      <c r="BD39" s="7">
        <f t="shared" si="20"/>
        <v>1</v>
      </c>
      <c r="BE39" s="7">
        <f t="shared" si="21"/>
        <v>2</v>
      </c>
      <c r="BF39" s="7">
        <f t="shared" si="22"/>
        <v>6</v>
      </c>
      <c r="BG39" s="7">
        <f t="shared" si="24"/>
        <v>5</v>
      </c>
      <c r="BH39" s="7">
        <f t="shared" si="28"/>
        <v>6</v>
      </c>
      <c r="BI39" s="7">
        <f t="shared" si="30"/>
        <v>7</v>
      </c>
      <c r="BJ39" s="7">
        <f t="shared" si="32"/>
        <v>4</v>
      </c>
      <c r="BK39" s="7" t="str">
        <f t="shared" si="34"/>
        <v/>
      </c>
      <c r="BL39" s="7" t="str">
        <f t="shared" si="36"/>
        <v/>
      </c>
      <c r="BM39" s="7" t="str">
        <f t="shared" ref="BM39:BM46" si="38">$AA$12</f>
        <v/>
      </c>
      <c r="BN39" s="7">
        <f>$AB$3</f>
        <v>5</v>
      </c>
      <c r="BO39" s="7">
        <f>$AB$4</f>
        <v>7</v>
      </c>
      <c r="BP39" s="7">
        <f>$AB$5</f>
        <v>1</v>
      </c>
      <c r="BQ39" s="7">
        <f>$AB$6</f>
        <v>4</v>
      </c>
      <c r="BR39" s="7">
        <f>$AB$7</f>
        <v>2</v>
      </c>
      <c r="BS39" s="7">
        <f>$AB$8</f>
        <v>6</v>
      </c>
      <c r="BT39" s="7">
        <f>$AB$9</f>
        <v>3</v>
      </c>
      <c r="BU39" s="7" t="str">
        <f>$AB$10</f>
        <v/>
      </c>
      <c r="BV39" s="7" t="str">
        <f>$AB$11</f>
        <v/>
      </c>
      <c r="BW39" s="7" t="str">
        <f>$AB$12</f>
        <v/>
      </c>
      <c r="CR39" s="7" t="str">
        <f t="shared" si="8"/>
        <v/>
      </c>
      <c r="CS39" s="7" t="str">
        <f t="shared" si="9"/>
        <v/>
      </c>
      <c r="CT39" s="458">
        <v>39</v>
      </c>
    </row>
    <row r="40" spans="1:98" x14ac:dyDescent="0.2">
      <c r="A40" s="7">
        <f t="shared" si="2"/>
        <v>0</v>
      </c>
      <c r="B40" s="7" t="e">
        <f t="shared" si="25"/>
        <v>#VALUE!</v>
      </c>
      <c r="C40" s="7" t="e">
        <f t="shared" si="3"/>
        <v>#VALUE!</v>
      </c>
      <c r="D40" s="822" t="str">
        <f t="shared" si="10"/>
        <v/>
      </c>
      <c r="E40" s="822" t="str">
        <f t="shared" si="26"/>
        <v/>
      </c>
      <c r="F40" s="525" t="str">
        <f t="shared" si="4"/>
        <v/>
      </c>
      <c r="G40" s="524"/>
      <c r="H40" s="524"/>
      <c r="I40" s="524"/>
      <c r="J40" s="523">
        <v>40</v>
      </c>
      <c r="K40" s="29" t="e">
        <f t="shared" si="5"/>
        <v>#N/A</v>
      </c>
      <c r="L40" s="7" t="str">
        <f t="shared" si="6"/>
        <v/>
      </c>
      <c r="O40" s="14">
        <v>11</v>
      </c>
      <c r="P40" s="7">
        <f t="shared" si="17"/>
        <v>7</v>
      </c>
      <c r="Q40" s="7">
        <f t="shared" si="18"/>
        <v>4</v>
      </c>
      <c r="R40" s="7">
        <f t="shared" si="19"/>
        <v>3</v>
      </c>
      <c r="S40" s="7">
        <f t="shared" si="23"/>
        <v>1</v>
      </c>
      <c r="T40" s="7">
        <f t="shared" si="27"/>
        <v>3</v>
      </c>
      <c r="U40" s="7">
        <f t="shared" si="29"/>
        <v>5</v>
      </c>
      <c r="V40" s="7">
        <f t="shared" si="31"/>
        <v>2</v>
      </c>
      <c r="W40" s="7" t="str">
        <f t="shared" si="33"/>
        <v/>
      </c>
      <c r="X40" s="7" t="str">
        <f t="shared" si="35"/>
        <v/>
      </c>
      <c r="Y40" s="7" t="str">
        <f t="shared" si="37"/>
        <v/>
      </c>
      <c r="Z40" s="7" t="str">
        <f t="shared" ref="Z40:Z46" si="39">$Y$13</f>
        <v/>
      </c>
      <c r="AA40" s="7">
        <f>$Z$3</f>
        <v>3</v>
      </c>
      <c r="AB40" s="7">
        <f>$Z$4</f>
        <v>6</v>
      </c>
      <c r="AC40" s="7">
        <f>$Z$5</f>
        <v>2</v>
      </c>
      <c r="AD40" s="7">
        <f>$Z$6</f>
        <v>7</v>
      </c>
      <c r="AE40" s="7">
        <f>$Z$7</f>
        <v>4</v>
      </c>
      <c r="AF40" s="7">
        <f>$Z$8</f>
        <v>1</v>
      </c>
      <c r="AG40" s="7">
        <f>$Z$9</f>
        <v>5</v>
      </c>
      <c r="AH40" s="7" t="str">
        <f>$Z$10</f>
        <v/>
      </c>
      <c r="AI40" s="7" t="str">
        <f>$Z$11</f>
        <v/>
      </c>
      <c r="AJ40" s="7" t="str">
        <f>$Z$12</f>
        <v/>
      </c>
      <c r="AK40" s="7" t="str">
        <f>$Z$13</f>
        <v/>
      </c>
      <c r="BD40" s="7">
        <f t="shared" si="20"/>
        <v>1</v>
      </c>
      <c r="BE40" s="7">
        <f t="shared" si="21"/>
        <v>2</v>
      </c>
      <c r="BF40" s="7">
        <f t="shared" si="22"/>
        <v>6</v>
      </c>
      <c r="BG40" s="7">
        <f t="shared" si="24"/>
        <v>5</v>
      </c>
      <c r="BH40" s="7">
        <f t="shared" si="28"/>
        <v>6</v>
      </c>
      <c r="BI40" s="7">
        <f t="shared" si="30"/>
        <v>7</v>
      </c>
      <c r="BJ40" s="7">
        <f t="shared" si="32"/>
        <v>4</v>
      </c>
      <c r="BK40" s="7" t="str">
        <f t="shared" si="34"/>
        <v/>
      </c>
      <c r="BL40" s="7" t="str">
        <f t="shared" si="36"/>
        <v/>
      </c>
      <c r="BM40" s="7" t="str">
        <f t="shared" si="38"/>
        <v/>
      </c>
      <c r="BN40" s="7" t="str">
        <f t="shared" ref="BN40:BN46" si="40">$AA$13</f>
        <v/>
      </c>
      <c r="BO40" s="7">
        <f>$AB$3</f>
        <v>5</v>
      </c>
      <c r="BP40" s="7">
        <f>$AB$4</f>
        <v>7</v>
      </c>
      <c r="BQ40" s="7">
        <f>$AB$5</f>
        <v>1</v>
      </c>
      <c r="BR40" s="7">
        <f>$AB$6</f>
        <v>4</v>
      </c>
      <c r="BS40" s="7">
        <f>$AB$7</f>
        <v>2</v>
      </c>
      <c r="BT40" s="7">
        <f>$AB$8</f>
        <v>6</v>
      </c>
      <c r="BU40" s="7">
        <f>$AB$9</f>
        <v>3</v>
      </c>
      <c r="BV40" s="7" t="str">
        <f>$AB$10</f>
        <v/>
      </c>
      <c r="BW40" s="7" t="str">
        <f>$AB$11</f>
        <v/>
      </c>
      <c r="BX40" s="7" t="str">
        <f>$AB$12</f>
        <v/>
      </c>
      <c r="BY40" s="7" t="str">
        <f>$AB$13</f>
        <v/>
      </c>
      <c r="CR40" s="7" t="str">
        <f t="shared" si="8"/>
        <v/>
      </c>
      <c r="CS40" s="7" t="str">
        <f t="shared" si="9"/>
        <v/>
      </c>
      <c r="CT40" s="458">
        <v>40</v>
      </c>
    </row>
    <row r="41" spans="1:98" x14ac:dyDescent="0.2">
      <c r="A41" s="7">
        <f t="shared" si="2"/>
        <v>0</v>
      </c>
      <c r="B41" s="7" t="e">
        <f t="shared" si="25"/>
        <v>#VALUE!</v>
      </c>
      <c r="C41" s="7" t="e">
        <f t="shared" si="3"/>
        <v>#VALUE!</v>
      </c>
      <c r="D41" s="7" t="str">
        <f t="shared" si="10"/>
        <v/>
      </c>
      <c r="E41" s="7" t="str">
        <f t="shared" si="26"/>
        <v/>
      </c>
      <c r="F41" s="525" t="str">
        <f t="shared" si="4"/>
        <v/>
      </c>
      <c r="G41" s="524"/>
      <c r="H41" s="524"/>
      <c r="I41" s="524"/>
      <c r="J41" s="523">
        <v>41</v>
      </c>
      <c r="K41" s="29" t="e">
        <f t="shared" si="5"/>
        <v>#N/A</v>
      </c>
      <c r="L41" s="7" t="str">
        <f t="shared" si="6"/>
        <v/>
      </c>
      <c r="O41" s="14">
        <v>12</v>
      </c>
      <c r="P41" s="7">
        <f t="shared" si="17"/>
        <v>7</v>
      </c>
      <c r="Q41" s="7">
        <f t="shared" si="18"/>
        <v>4</v>
      </c>
      <c r="R41" s="7">
        <f t="shared" si="19"/>
        <v>3</v>
      </c>
      <c r="S41" s="7">
        <f t="shared" si="23"/>
        <v>1</v>
      </c>
      <c r="T41" s="7">
        <f t="shared" si="27"/>
        <v>3</v>
      </c>
      <c r="U41" s="7">
        <f t="shared" si="29"/>
        <v>5</v>
      </c>
      <c r="V41" s="7">
        <f t="shared" si="31"/>
        <v>2</v>
      </c>
      <c r="W41" s="7" t="str">
        <f t="shared" si="33"/>
        <v/>
      </c>
      <c r="X41" s="7" t="str">
        <f t="shared" si="35"/>
        <v/>
      </c>
      <c r="Y41" s="7" t="str">
        <f t="shared" si="37"/>
        <v/>
      </c>
      <c r="Z41" s="7" t="str">
        <f t="shared" si="39"/>
        <v/>
      </c>
      <c r="AA41" s="7" t="str">
        <f t="shared" ref="AA41:AA46" si="41">$Y$14</f>
        <v/>
      </c>
      <c r="AB41" s="7">
        <f>$Z$3</f>
        <v>3</v>
      </c>
      <c r="AC41" s="7">
        <f>$Z$4</f>
        <v>6</v>
      </c>
      <c r="AD41" s="7">
        <f>$Z$5</f>
        <v>2</v>
      </c>
      <c r="AE41" s="7">
        <f>$Z$6</f>
        <v>7</v>
      </c>
      <c r="AF41" s="7">
        <f>$Z$7</f>
        <v>4</v>
      </c>
      <c r="AG41" s="7">
        <f>$Z$8</f>
        <v>1</v>
      </c>
      <c r="AH41" s="7">
        <f>$Z$9</f>
        <v>5</v>
      </c>
      <c r="AI41" s="7" t="str">
        <f>$Z$10</f>
        <v/>
      </c>
      <c r="AJ41" s="7" t="str">
        <f>$Z$11</f>
        <v/>
      </c>
      <c r="AK41" s="7" t="str">
        <f>$Z$12</f>
        <v/>
      </c>
      <c r="AL41" s="7" t="str">
        <f>$Z$13</f>
        <v/>
      </c>
      <c r="AM41" s="7" t="str">
        <f>$Z$14</f>
        <v/>
      </c>
      <c r="BD41" s="7">
        <f t="shared" si="20"/>
        <v>1</v>
      </c>
      <c r="BE41" s="7">
        <f t="shared" si="21"/>
        <v>2</v>
      </c>
      <c r="BF41" s="7">
        <f t="shared" si="22"/>
        <v>6</v>
      </c>
      <c r="BG41" s="7">
        <f t="shared" si="24"/>
        <v>5</v>
      </c>
      <c r="BH41" s="7">
        <f t="shared" si="28"/>
        <v>6</v>
      </c>
      <c r="BI41" s="7">
        <f t="shared" si="30"/>
        <v>7</v>
      </c>
      <c r="BJ41" s="7">
        <f t="shared" si="32"/>
        <v>4</v>
      </c>
      <c r="BK41" s="7" t="str">
        <f t="shared" si="34"/>
        <v/>
      </c>
      <c r="BL41" s="7" t="str">
        <f t="shared" si="36"/>
        <v/>
      </c>
      <c r="BM41" s="7" t="str">
        <f t="shared" si="38"/>
        <v/>
      </c>
      <c r="BN41" s="7" t="str">
        <f t="shared" si="40"/>
        <v/>
      </c>
      <c r="BO41" s="7" t="str">
        <f t="shared" ref="BO41:BO46" si="42">$AA$14</f>
        <v/>
      </c>
      <c r="BP41" s="7">
        <f>$AB$3</f>
        <v>5</v>
      </c>
      <c r="BQ41" s="7">
        <f>$AB$4</f>
        <v>7</v>
      </c>
      <c r="BR41" s="7">
        <f>$AB$5</f>
        <v>1</v>
      </c>
      <c r="BS41" s="7">
        <f>$AB$6</f>
        <v>4</v>
      </c>
      <c r="BT41" s="7">
        <f>$AB$7</f>
        <v>2</v>
      </c>
      <c r="BU41" s="7">
        <f>$AB$8</f>
        <v>6</v>
      </c>
      <c r="BV41" s="7">
        <f>$AB$9</f>
        <v>3</v>
      </c>
      <c r="BW41" s="7" t="str">
        <f>$AB$10</f>
        <v/>
      </c>
      <c r="BX41" s="7" t="str">
        <f>$AB$11</f>
        <v/>
      </c>
      <c r="BY41" s="7" t="str">
        <f>$AB$12</f>
        <v/>
      </c>
      <c r="BZ41" s="7" t="str">
        <f>$AB$13</f>
        <v/>
      </c>
      <c r="CA41" s="7" t="str">
        <f>$AB$14</f>
        <v/>
      </c>
      <c r="CR41" s="7" t="str">
        <f t="shared" si="8"/>
        <v/>
      </c>
      <c r="CS41" s="7" t="str">
        <f t="shared" si="9"/>
        <v/>
      </c>
      <c r="CT41" s="458">
        <v>41</v>
      </c>
    </row>
    <row r="42" spans="1:98" x14ac:dyDescent="0.2">
      <c r="A42" s="7">
        <f t="shared" si="2"/>
        <v>0</v>
      </c>
      <c r="B42" s="7" t="e">
        <f t="shared" si="25"/>
        <v>#VALUE!</v>
      </c>
      <c r="C42" s="7" t="e">
        <f t="shared" si="3"/>
        <v>#VALUE!</v>
      </c>
      <c r="D42" s="7" t="str">
        <f t="shared" si="10"/>
        <v/>
      </c>
      <c r="E42" s="7" t="str">
        <f t="shared" si="26"/>
        <v/>
      </c>
      <c r="F42" s="525" t="str">
        <f t="shared" si="4"/>
        <v/>
      </c>
      <c r="G42" s="524"/>
      <c r="H42" s="524"/>
      <c r="I42" s="524"/>
      <c r="J42" s="523">
        <v>42</v>
      </c>
      <c r="K42" s="29" t="e">
        <f t="shared" si="5"/>
        <v>#N/A</v>
      </c>
      <c r="L42" s="7" t="str">
        <f t="shared" si="6"/>
        <v/>
      </c>
      <c r="O42" s="14">
        <v>13</v>
      </c>
      <c r="P42" s="7">
        <f t="shared" si="17"/>
        <v>7</v>
      </c>
      <c r="Q42" s="7">
        <f t="shared" si="18"/>
        <v>4</v>
      </c>
      <c r="R42" s="7">
        <f t="shared" si="19"/>
        <v>3</v>
      </c>
      <c r="S42" s="7">
        <f t="shared" si="23"/>
        <v>1</v>
      </c>
      <c r="T42" s="7">
        <f t="shared" si="27"/>
        <v>3</v>
      </c>
      <c r="U42" s="7">
        <f t="shared" si="29"/>
        <v>5</v>
      </c>
      <c r="V42" s="7">
        <f t="shared" si="31"/>
        <v>2</v>
      </c>
      <c r="W42" s="7" t="str">
        <f t="shared" si="33"/>
        <v/>
      </c>
      <c r="X42" s="7" t="str">
        <f t="shared" si="35"/>
        <v/>
      </c>
      <c r="Y42" s="7" t="str">
        <f t="shared" si="37"/>
        <v/>
      </c>
      <c r="Z42" s="7" t="str">
        <f t="shared" si="39"/>
        <v/>
      </c>
      <c r="AA42" s="7" t="str">
        <f t="shared" si="41"/>
        <v/>
      </c>
      <c r="AB42" s="7" t="str">
        <f>$Y$15</f>
        <v/>
      </c>
      <c r="AC42" s="7">
        <f>$Z$3</f>
        <v>3</v>
      </c>
      <c r="AD42" s="7">
        <f>$Z$4</f>
        <v>6</v>
      </c>
      <c r="AE42" s="7">
        <f>$Z$5</f>
        <v>2</v>
      </c>
      <c r="AF42" s="7">
        <f>$Z$6</f>
        <v>7</v>
      </c>
      <c r="AG42" s="7">
        <f>$Z$7</f>
        <v>4</v>
      </c>
      <c r="AH42" s="7">
        <f>$Z$8</f>
        <v>1</v>
      </c>
      <c r="AI42" s="7">
        <f>$Z$9</f>
        <v>5</v>
      </c>
      <c r="AJ42" s="7" t="str">
        <f>$Z$10</f>
        <v/>
      </c>
      <c r="AK42" s="7" t="str">
        <f>$Z$11</f>
        <v/>
      </c>
      <c r="AL42" s="7" t="str">
        <f>$Z$12</f>
        <v/>
      </c>
      <c r="AM42" s="7" t="str">
        <f>$Z$13</f>
        <v/>
      </c>
      <c r="AN42" s="7" t="str">
        <f>$Z$14</f>
        <v/>
      </c>
      <c r="AO42" s="7" t="str">
        <f>$Z$15</f>
        <v/>
      </c>
      <c r="BD42" s="7">
        <f t="shared" si="20"/>
        <v>1</v>
      </c>
      <c r="BE42" s="7">
        <f t="shared" si="21"/>
        <v>2</v>
      </c>
      <c r="BF42" s="7">
        <f t="shared" si="22"/>
        <v>6</v>
      </c>
      <c r="BG42" s="7">
        <f t="shared" si="24"/>
        <v>5</v>
      </c>
      <c r="BH42" s="7">
        <f t="shared" si="28"/>
        <v>6</v>
      </c>
      <c r="BI42" s="7">
        <f t="shared" si="30"/>
        <v>7</v>
      </c>
      <c r="BJ42" s="7">
        <f t="shared" si="32"/>
        <v>4</v>
      </c>
      <c r="BK42" s="7" t="str">
        <f t="shared" si="34"/>
        <v/>
      </c>
      <c r="BL42" s="7" t="str">
        <f t="shared" si="36"/>
        <v/>
      </c>
      <c r="BM42" s="7" t="str">
        <f t="shared" si="38"/>
        <v/>
      </c>
      <c r="BN42" s="7" t="str">
        <f t="shared" si="40"/>
        <v/>
      </c>
      <c r="BO42" s="7" t="str">
        <f t="shared" si="42"/>
        <v/>
      </c>
      <c r="BP42" s="7" t="str">
        <f>$AA$15</f>
        <v/>
      </c>
      <c r="BQ42" s="7">
        <f>$AB$3</f>
        <v>5</v>
      </c>
      <c r="BR42" s="7">
        <f>$AB$4</f>
        <v>7</v>
      </c>
      <c r="BS42" s="7">
        <f>$AB$5</f>
        <v>1</v>
      </c>
      <c r="BT42" s="7">
        <f>$AB$6</f>
        <v>4</v>
      </c>
      <c r="BU42" s="7">
        <f>$AB$7</f>
        <v>2</v>
      </c>
      <c r="BV42" s="7">
        <f>$AB$8</f>
        <v>6</v>
      </c>
      <c r="BW42" s="7">
        <f>$AB$9</f>
        <v>3</v>
      </c>
      <c r="BX42" s="7" t="str">
        <f>$AB$10</f>
        <v/>
      </c>
      <c r="BY42" s="7" t="str">
        <f>$AB$11</f>
        <v/>
      </c>
      <c r="BZ42" s="7" t="str">
        <f>$AB$12</f>
        <v/>
      </c>
      <c r="CA42" s="7" t="str">
        <f>$AB$13</f>
        <v/>
      </c>
      <c r="CB42" s="7" t="str">
        <f>$AB$14</f>
        <v/>
      </c>
      <c r="CC42" s="7" t="str">
        <f>$AB$15</f>
        <v/>
      </c>
      <c r="CR42" s="7" t="str">
        <f t="shared" si="8"/>
        <v/>
      </c>
      <c r="CS42" s="7" t="str">
        <f t="shared" si="9"/>
        <v/>
      </c>
      <c r="CT42" s="458">
        <v>42</v>
      </c>
    </row>
    <row r="43" spans="1:98" x14ac:dyDescent="0.2">
      <c r="A43" s="7">
        <f t="shared" si="2"/>
        <v>0</v>
      </c>
      <c r="B43" s="7" t="e">
        <f t="shared" si="25"/>
        <v>#VALUE!</v>
      </c>
      <c r="C43" s="7" t="e">
        <f t="shared" si="3"/>
        <v>#VALUE!</v>
      </c>
      <c r="D43" s="7" t="str">
        <f t="shared" si="10"/>
        <v/>
      </c>
      <c r="E43" s="7" t="str">
        <f t="shared" si="26"/>
        <v/>
      </c>
      <c r="F43" s="525" t="str">
        <f t="shared" si="4"/>
        <v/>
      </c>
      <c r="G43" s="524"/>
      <c r="H43" s="524"/>
      <c r="I43" s="524"/>
      <c r="J43" s="523">
        <v>43</v>
      </c>
      <c r="K43" s="29" t="e">
        <f t="shared" si="5"/>
        <v>#N/A</v>
      </c>
      <c r="L43" s="7" t="str">
        <f t="shared" si="6"/>
        <v/>
      </c>
      <c r="O43" s="14">
        <v>14</v>
      </c>
      <c r="P43" s="7">
        <f t="shared" si="17"/>
        <v>7</v>
      </c>
      <c r="Q43" s="7">
        <f t="shared" si="18"/>
        <v>4</v>
      </c>
      <c r="R43" s="7">
        <f t="shared" si="19"/>
        <v>3</v>
      </c>
      <c r="S43" s="7">
        <f t="shared" si="23"/>
        <v>1</v>
      </c>
      <c r="T43" s="7">
        <f t="shared" si="27"/>
        <v>3</v>
      </c>
      <c r="U43" s="7">
        <f t="shared" si="29"/>
        <v>5</v>
      </c>
      <c r="V43" s="7">
        <f t="shared" si="31"/>
        <v>2</v>
      </c>
      <c r="W43" s="7" t="str">
        <f t="shared" si="33"/>
        <v/>
      </c>
      <c r="X43" s="7" t="str">
        <f t="shared" si="35"/>
        <v/>
      </c>
      <c r="Y43" s="7" t="str">
        <f t="shared" si="37"/>
        <v/>
      </c>
      <c r="Z43" s="7" t="str">
        <f t="shared" si="39"/>
        <v/>
      </c>
      <c r="AA43" s="7" t="str">
        <f t="shared" si="41"/>
        <v/>
      </c>
      <c r="AB43" s="7" t="str">
        <f>$Y$15</f>
        <v/>
      </c>
      <c r="AC43" s="7" t="str">
        <f>$Y$16</f>
        <v/>
      </c>
      <c r="AD43" s="7">
        <f>$Z$3</f>
        <v>3</v>
      </c>
      <c r="AE43" s="7">
        <f>$Z$4</f>
        <v>6</v>
      </c>
      <c r="AF43" s="7">
        <f>$Z$5</f>
        <v>2</v>
      </c>
      <c r="AG43" s="7">
        <f>$Z$6</f>
        <v>7</v>
      </c>
      <c r="AH43" s="7">
        <f>$Z$7</f>
        <v>4</v>
      </c>
      <c r="AI43" s="7">
        <f>$Z$8</f>
        <v>1</v>
      </c>
      <c r="AJ43" s="7">
        <f>$Z$9</f>
        <v>5</v>
      </c>
      <c r="AK43" s="7" t="str">
        <f>$Z$10</f>
        <v/>
      </c>
      <c r="AL43" s="7" t="str">
        <f>$Z$11</f>
        <v/>
      </c>
      <c r="AM43" s="7" t="str">
        <f>$Z$12</f>
        <v/>
      </c>
      <c r="AN43" s="7" t="str">
        <f>$Z$13</f>
        <v/>
      </c>
      <c r="AO43" s="7" t="str">
        <f>$Z$14</f>
        <v/>
      </c>
      <c r="AP43" s="7" t="str">
        <f>$Z$15</f>
        <v/>
      </c>
      <c r="AQ43" s="7" t="str">
        <f>$Z$16</f>
        <v/>
      </c>
      <c r="BD43" s="7">
        <f t="shared" si="20"/>
        <v>1</v>
      </c>
      <c r="BE43" s="7">
        <f t="shared" si="21"/>
        <v>2</v>
      </c>
      <c r="BF43" s="7">
        <f t="shared" si="22"/>
        <v>6</v>
      </c>
      <c r="BG43" s="7">
        <f t="shared" si="24"/>
        <v>5</v>
      </c>
      <c r="BH43" s="7">
        <f t="shared" si="28"/>
        <v>6</v>
      </c>
      <c r="BI43" s="7">
        <f t="shared" si="30"/>
        <v>7</v>
      </c>
      <c r="BJ43" s="7">
        <f t="shared" si="32"/>
        <v>4</v>
      </c>
      <c r="BK43" s="7" t="str">
        <f t="shared" si="34"/>
        <v/>
      </c>
      <c r="BL43" s="7" t="str">
        <f t="shared" si="36"/>
        <v/>
      </c>
      <c r="BM43" s="7" t="str">
        <f t="shared" si="38"/>
        <v/>
      </c>
      <c r="BN43" s="7" t="str">
        <f t="shared" si="40"/>
        <v/>
      </c>
      <c r="BO43" s="7" t="str">
        <f t="shared" si="42"/>
        <v/>
      </c>
      <c r="BP43" s="7" t="str">
        <f>$AA$15</f>
        <v/>
      </c>
      <c r="BQ43" s="7" t="str">
        <f>$AA$16</f>
        <v/>
      </c>
      <c r="BR43" s="7">
        <f>$AB$3</f>
        <v>5</v>
      </c>
      <c r="BS43" s="7">
        <f>$AB$4</f>
        <v>7</v>
      </c>
      <c r="BT43" s="7">
        <f>$AB$5</f>
        <v>1</v>
      </c>
      <c r="BU43" s="7">
        <f>$AB$6</f>
        <v>4</v>
      </c>
      <c r="BV43" s="7">
        <f>$AB$7</f>
        <v>2</v>
      </c>
      <c r="BW43" s="7">
        <f>$AB$8</f>
        <v>6</v>
      </c>
      <c r="BX43" s="7">
        <f>$AB$9</f>
        <v>3</v>
      </c>
      <c r="BY43" s="7" t="str">
        <f>$AB$10</f>
        <v/>
      </c>
      <c r="BZ43" s="7" t="str">
        <f>$AB$11</f>
        <v/>
      </c>
      <c r="CA43" s="7" t="str">
        <f>$AB$12</f>
        <v/>
      </c>
      <c r="CB43" s="7" t="str">
        <f>$AB$13</f>
        <v/>
      </c>
      <c r="CC43" s="7" t="str">
        <f>$AB$14</f>
        <v/>
      </c>
      <c r="CD43" s="7" t="str">
        <f>$AB$15</f>
        <v/>
      </c>
      <c r="CE43" s="7" t="str">
        <f>$AB$16</f>
        <v/>
      </c>
      <c r="CR43" s="7" t="str">
        <f t="shared" si="8"/>
        <v/>
      </c>
      <c r="CS43" s="7" t="str">
        <f t="shared" si="9"/>
        <v/>
      </c>
      <c r="CT43" s="458">
        <v>43</v>
      </c>
    </row>
    <row r="44" spans="1:98" x14ac:dyDescent="0.2">
      <c r="A44" s="7">
        <f t="shared" si="2"/>
        <v>0</v>
      </c>
      <c r="B44" s="7" t="e">
        <f t="shared" si="25"/>
        <v>#VALUE!</v>
      </c>
      <c r="C44" s="7" t="e">
        <f t="shared" si="3"/>
        <v>#VALUE!</v>
      </c>
      <c r="D44" s="7" t="str">
        <f t="shared" si="10"/>
        <v/>
      </c>
      <c r="E44" s="7" t="str">
        <f t="shared" si="26"/>
        <v/>
      </c>
      <c r="F44" s="525" t="str">
        <f t="shared" si="4"/>
        <v/>
      </c>
      <c r="G44" s="524"/>
      <c r="H44" s="524"/>
      <c r="I44" s="524"/>
      <c r="J44" s="523">
        <v>44</v>
      </c>
      <c r="K44" s="29" t="e">
        <f t="shared" si="5"/>
        <v>#N/A</v>
      </c>
      <c r="L44" s="7" t="str">
        <f t="shared" si="6"/>
        <v/>
      </c>
      <c r="O44" s="14">
        <v>15</v>
      </c>
      <c r="P44" s="7">
        <f t="shared" si="17"/>
        <v>7</v>
      </c>
      <c r="Q44" s="7">
        <f t="shared" si="18"/>
        <v>4</v>
      </c>
      <c r="R44" s="7">
        <f t="shared" si="19"/>
        <v>3</v>
      </c>
      <c r="S44" s="7">
        <f t="shared" si="23"/>
        <v>1</v>
      </c>
      <c r="T44" s="7">
        <f t="shared" si="27"/>
        <v>3</v>
      </c>
      <c r="U44" s="7">
        <f t="shared" si="29"/>
        <v>5</v>
      </c>
      <c r="V44" s="7">
        <f t="shared" si="31"/>
        <v>2</v>
      </c>
      <c r="W44" s="7" t="str">
        <f t="shared" si="33"/>
        <v/>
      </c>
      <c r="X44" s="7" t="str">
        <f t="shared" si="35"/>
        <v/>
      </c>
      <c r="Y44" s="7" t="str">
        <f t="shared" si="37"/>
        <v/>
      </c>
      <c r="Z44" s="7" t="str">
        <f t="shared" si="39"/>
        <v/>
      </c>
      <c r="AA44" s="7" t="str">
        <f t="shared" si="41"/>
        <v/>
      </c>
      <c r="AB44" s="7" t="str">
        <f>$Y$15</f>
        <v/>
      </c>
      <c r="AC44" s="7" t="str">
        <f>$Y$16</f>
        <v/>
      </c>
      <c r="AD44" s="7" t="str">
        <f>$Y$17</f>
        <v/>
      </c>
      <c r="AE44" s="7">
        <f>$Z$3</f>
        <v>3</v>
      </c>
      <c r="AF44" s="7">
        <f>$Z$4</f>
        <v>6</v>
      </c>
      <c r="AG44" s="7">
        <f>$Z$5</f>
        <v>2</v>
      </c>
      <c r="AH44" s="7">
        <f>$Z$6</f>
        <v>7</v>
      </c>
      <c r="AI44" s="7">
        <f>$Z$7</f>
        <v>4</v>
      </c>
      <c r="AJ44" s="7">
        <f>$Z$8</f>
        <v>1</v>
      </c>
      <c r="AK44" s="7">
        <f>$Z$9</f>
        <v>5</v>
      </c>
      <c r="AL44" s="7" t="str">
        <f>$Z$10</f>
        <v/>
      </c>
      <c r="AM44" s="7" t="str">
        <f>$Z$11</f>
        <v/>
      </c>
      <c r="AN44" s="7" t="str">
        <f>$Z$12</f>
        <v/>
      </c>
      <c r="AO44" s="7" t="str">
        <f>$Z$13</f>
        <v/>
      </c>
      <c r="AP44" s="7" t="str">
        <f>$Z$14</f>
        <v/>
      </c>
      <c r="AQ44" s="7" t="str">
        <f>$Z$15</f>
        <v/>
      </c>
      <c r="AR44" s="7" t="str">
        <f>$Z$16</f>
        <v/>
      </c>
      <c r="AS44" s="7" t="str">
        <f>$Z$17</f>
        <v/>
      </c>
      <c r="BD44" s="7">
        <f t="shared" si="20"/>
        <v>1</v>
      </c>
      <c r="BE44" s="7">
        <f t="shared" si="21"/>
        <v>2</v>
      </c>
      <c r="BF44" s="7">
        <f t="shared" si="22"/>
        <v>6</v>
      </c>
      <c r="BG44" s="7">
        <f t="shared" si="24"/>
        <v>5</v>
      </c>
      <c r="BH44" s="7">
        <f t="shared" si="28"/>
        <v>6</v>
      </c>
      <c r="BI44" s="7">
        <f t="shared" si="30"/>
        <v>7</v>
      </c>
      <c r="BJ44" s="7">
        <f t="shared" si="32"/>
        <v>4</v>
      </c>
      <c r="BK44" s="7" t="str">
        <f t="shared" si="34"/>
        <v/>
      </c>
      <c r="BL44" s="7" t="str">
        <f t="shared" si="36"/>
        <v/>
      </c>
      <c r="BM44" s="7" t="str">
        <f t="shared" si="38"/>
        <v/>
      </c>
      <c r="BN44" s="7" t="str">
        <f t="shared" si="40"/>
        <v/>
      </c>
      <c r="BO44" s="7" t="str">
        <f t="shared" si="42"/>
        <v/>
      </c>
      <c r="BP44" s="7" t="str">
        <f>$AA$15</f>
        <v/>
      </c>
      <c r="BQ44" s="7" t="str">
        <f>$AA$16</f>
        <v/>
      </c>
      <c r="BR44" s="7" t="str">
        <f>$AA$17</f>
        <v/>
      </c>
      <c r="BS44" s="7">
        <f>$AB$3</f>
        <v>5</v>
      </c>
      <c r="BT44" s="7">
        <f>$AB$4</f>
        <v>7</v>
      </c>
      <c r="BU44" s="7">
        <f>$AB$5</f>
        <v>1</v>
      </c>
      <c r="BV44" s="7">
        <f>$AB$6</f>
        <v>4</v>
      </c>
      <c r="BW44" s="7">
        <f>$AB$7</f>
        <v>2</v>
      </c>
      <c r="BX44" s="7">
        <f>$AB$8</f>
        <v>6</v>
      </c>
      <c r="BY44" s="7">
        <f>$AB$9</f>
        <v>3</v>
      </c>
      <c r="BZ44" s="7" t="str">
        <f>$AB$10</f>
        <v/>
      </c>
      <c r="CA44" s="7" t="str">
        <f>$AB$11</f>
        <v/>
      </c>
      <c r="CB44" s="7" t="str">
        <f>$AB$12</f>
        <v/>
      </c>
      <c r="CC44" s="7" t="str">
        <f>$AB$13</f>
        <v/>
      </c>
      <c r="CD44" s="7" t="str">
        <f>$AB$14</f>
        <v/>
      </c>
      <c r="CE44" s="7" t="str">
        <f>$AB$15</f>
        <v/>
      </c>
      <c r="CF44" s="7" t="str">
        <f>$AB$16</f>
        <v/>
      </c>
      <c r="CG44" s="7" t="str">
        <f>$AB$17</f>
        <v/>
      </c>
      <c r="CR44" s="7" t="str">
        <f t="shared" si="8"/>
        <v/>
      </c>
      <c r="CS44" s="7" t="str">
        <f t="shared" si="9"/>
        <v/>
      </c>
      <c r="CT44" s="458">
        <v>44</v>
      </c>
    </row>
    <row r="45" spans="1:98" x14ac:dyDescent="0.2">
      <c r="A45" s="7">
        <f t="shared" si="2"/>
        <v>0</v>
      </c>
      <c r="B45" s="7" t="e">
        <f t="shared" si="25"/>
        <v>#VALUE!</v>
      </c>
      <c r="C45" s="7" t="e">
        <f t="shared" si="3"/>
        <v>#VALUE!</v>
      </c>
      <c r="D45" s="7" t="str">
        <f t="shared" si="10"/>
        <v/>
      </c>
      <c r="E45" s="7" t="str">
        <f t="shared" si="26"/>
        <v/>
      </c>
      <c r="F45" s="525" t="str">
        <f t="shared" si="4"/>
        <v/>
      </c>
      <c r="G45" s="524"/>
      <c r="H45" s="524"/>
      <c r="I45" s="524"/>
      <c r="J45" s="523">
        <v>45</v>
      </c>
      <c r="K45" s="29" t="e">
        <f t="shared" si="5"/>
        <v>#N/A</v>
      </c>
      <c r="L45" s="7" t="str">
        <f t="shared" si="6"/>
        <v/>
      </c>
      <c r="O45" s="14">
        <v>16</v>
      </c>
      <c r="P45" s="7">
        <f t="shared" si="17"/>
        <v>7</v>
      </c>
      <c r="Q45" s="7">
        <f t="shared" si="18"/>
        <v>4</v>
      </c>
      <c r="R45" s="7">
        <f t="shared" si="19"/>
        <v>3</v>
      </c>
      <c r="S45" s="7">
        <f t="shared" si="23"/>
        <v>1</v>
      </c>
      <c r="T45" s="7">
        <f t="shared" si="27"/>
        <v>3</v>
      </c>
      <c r="U45" s="7">
        <f t="shared" si="29"/>
        <v>5</v>
      </c>
      <c r="V45" s="7">
        <f t="shared" si="31"/>
        <v>2</v>
      </c>
      <c r="W45" s="7" t="str">
        <f t="shared" si="33"/>
        <v/>
      </c>
      <c r="X45" s="7" t="str">
        <f t="shared" si="35"/>
        <v/>
      </c>
      <c r="Y45" s="7" t="str">
        <f t="shared" si="37"/>
        <v/>
      </c>
      <c r="Z45" s="7" t="str">
        <f t="shared" si="39"/>
        <v/>
      </c>
      <c r="AA45" s="7" t="str">
        <f t="shared" si="41"/>
        <v/>
      </c>
      <c r="AB45" s="7" t="str">
        <f>$Y$15</f>
        <v/>
      </c>
      <c r="AC45" s="7" t="str">
        <f>$Y$16</f>
        <v/>
      </c>
      <c r="AD45" s="7" t="str">
        <f>$Y$17</f>
        <v/>
      </c>
      <c r="AE45" s="7" t="str">
        <f>$Y$18</f>
        <v/>
      </c>
      <c r="AF45" s="7">
        <f>$Z$3</f>
        <v>3</v>
      </c>
      <c r="AG45" s="7">
        <f>$Z$4</f>
        <v>6</v>
      </c>
      <c r="AH45" s="7">
        <f>$Z$5</f>
        <v>2</v>
      </c>
      <c r="AI45" s="7">
        <f>$Z$6</f>
        <v>7</v>
      </c>
      <c r="AJ45" s="7">
        <f>$Z$7</f>
        <v>4</v>
      </c>
      <c r="AK45" s="7">
        <f>$Z$8</f>
        <v>1</v>
      </c>
      <c r="AL45" s="7">
        <f>$Z$9</f>
        <v>5</v>
      </c>
      <c r="AM45" s="7" t="str">
        <f>$Z$10</f>
        <v/>
      </c>
      <c r="AN45" s="7" t="str">
        <f>$Z$11</f>
        <v/>
      </c>
      <c r="AO45" s="7" t="str">
        <f>$Z$12</f>
        <v/>
      </c>
      <c r="AP45" s="7" t="str">
        <f>$Z$13</f>
        <v/>
      </c>
      <c r="AQ45" s="7" t="str">
        <f>$Z$14</f>
        <v/>
      </c>
      <c r="AR45" s="7" t="str">
        <f>$Z$15</f>
        <v/>
      </c>
      <c r="AS45" s="7" t="str">
        <f>$Z$16</f>
        <v/>
      </c>
      <c r="AT45" s="7" t="str">
        <f>$Z$17</f>
        <v/>
      </c>
      <c r="AU45" s="7" t="str">
        <f>$Z$18</f>
        <v/>
      </c>
      <c r="BD45" s="7">
        <f t="shared" si="20"/>
        <v>1</v>
      </c>
      <c r="BE45" s="7">
        <f t="shared" si="21"/>
        <v>2</v>
      </c>
      <c r="BF45" s="7">
        <f t="shared" si="22"/>
        <v>6</v>
      </c>
      <c r="BG45" s="7">
        <f t="shared" si="24"/>
        <v>5</v>
      </c>
      <c r="BH45" s="7">
        <f t="shared" si="28"/>
        <v>6</v>
      </c>
      <c r="BI45" s="7">
        <f t="shared" si="30"/>
        <v>7</v>
      </c>
      <c r="BJ45" s="7">
        <f t="shared" si="32"/>
        <v>4</v>
      </c>
      <c r="BK45" s="7" t="str">
        <f t="shared" si="34"/>
        <v/>
      </c>
      <c r="BL45" s="7" t="str">
        <f t="shared" si="36"/>
        <v/>
      </c>
      <c r="BM45" s="7" t="str">
        <f t="shared" si="38"/>
        <v/>
      </c>
      <c r="BN45" s="7" t="str">
        <f t="shared" si="40"/>
        <v/>
      </c>
      <c r="BO45" s="7" t="str">
        <f t="shared" si="42"/>
        <v/>
      </c>
      <c r="BP45" s="7" t="str">
        <f>$AA$15</f>
        <v/>
      </c>
      <c r="BQ45" s="7" t="str">
        <f>$AA$16</f>
        <v/>
      </c>
      <c r="BR45" s="7" t="str">
        <f>$AA$17</f>
        <v/>
      </c>
      <c r="BS45" s="7" t="str">
        <f>$AA$18</f>
        <v/>
      </c>
      <c r="BT45" s="7">
        <f>$AB$3</f>
        <v>5</v>
      </c>
      <c r="BU45" s="7">
        <f>$AB$4</f>
        <v>7</v>
      </c>
      <c r="BV45" s="7">
        <f>$AB$5</f>
        <v>1</v>
      </c>
      <c r="BW45" s="7">
        <f>$AB$6</f>
        <v>4</v>
      </c>
      <c r="BX45" s="7">
        <f>$AB$7</f>
        <v>2</v>
      </c>
      <c r="BY45" s="7">
        <f>$AB$8</f>
        <v>6</v>
      </c>
      <c r="BZ45" s="7">
        <f>$AB$9</f>
        <v>3</v>
      </c>
      <c r="CA45" s="7" t="str">
        <f>$AB$10</f>
        <v/>
      </c>
      <c r="CB45" s="7" t="str">
        <f>$AB$11</f>
        <v/>
      </c>
      <c r="CC45" s="7" t="str">
        <f>$AB$12</f>
        <v/>
      </c>
      <c r="CD45" s="7" t="str">
        <f>$AB$13</f>
        <v/>
      </c>
      <c r="CE45" s="7" t="str">
        <f>$AB$14</f>
        <v/>
      </c>
      <c r="CF45" s="7" t="str">
        <f>$AB$15</f>
        <v/>
      </c>
      <c r="CG45" s="7" t="str">
        <f>$AB$16</f>
        <v/>
      </c>
      <c r="CH45" s="7" t="str">
        <f>$AB$17</f>
        <v/>
      </c>
      <c r="CI45" s="7" t="str">
        <f>$AB$18</f>
        <v/>
      </c>
      <c r="CJ45" s="7" t="str">
        <f>$AB$19</f>
        <v/>
      </c>
      <c r="CR45" s="7" t="str">
        <f t="shared" si="8"/>
        <v/>
      </c>
      <c r="CS45" s="7" t="str">
        <f t="shared" si="9"/>
        <v/>
      </c>
      <c r="CT45" s="458">
        <v>45</v>
      </c>
    </row>
    <row r="46" spans="1:98" x14ac:dyDescent="0.2">
      <c r="A46" s="7">
        <f t="shared" si="2"/>
        <v>0</v>
      </c>
      <c r="B46" s="7" t="e">
        <f t="shared" si="25"/>
        <v>#VALUE!</v>
      </c>
      <c r="C46" s="7" t="e">
        <f t="shared" si="3"/>
        <v>#VALUE!</v>
      </c>
      <c r="D46" s="7" t="str">
        <f t="shared" si="10"/>
        <v/>
      </c>
      <c r="E46" s="7" t="str">
        <f t="shared" si="26"/>
        <v/>
      </c>
      <c r="F46" s="525" t="str">
        <f t="shared" si="4"/>
        <v/>
      </c>
      <c r="G46" s="524"/>
      <c r="H46" s="524"/>
      <c r="I46" s="524"/>
      <c r="J46" s="523">
        <v>46</v>
      </c>
      <c r="K46" s="29" t="e">
        <f t="shared" si="5"/>
        <v>#N/A</v>
      </c>
      <c r="L46" s="7" t="str">
        <f t="shared" si="6"/>
        <v/>
      </c>
      <c r="O46" s="14">
        <v>17</v>
      </c>
      <c r="P46" s="7">
        <f t="shared" si="17"/>
        <v>7</v>
      </c>
      <c r="Q46" s="7">
        <f t="shared" si="18"/>
        <v>4</v>
      </c>
      <c r="R46" s="7">
        <f t="shared" si="19"/>
        <v>3</v>
      </c>
      <c r="S46" s="7">
        <f t="shared" si="23"/>
        <v>1</v>
      </c>
      <c r="T46" s="7">
        <f t="shared" si="27"/>
        <v>3</v>
      </c>
      <c r="U46" s="7">
        <f t="shared" si="29"/>
        <v>5</v>
      </c>
      <c r="V46" s="7">
        <f t="shared" si="31"/>
        <v>2</v>
      </c>
      <c r="W46" s="7" t="str">
        <f t="shared" si="33"/>
        <v/>
      </c>
      <c r="X46" s="7" t="str">
        <f t="shared" si="35"/>
        <v/>
      </c>
      <c r="Y46" s="7" t="str">
        <f t="shared" si="37"/>
        <v/>
      </c>
      <c r="Z46" s="7" t="str">
        <f t="shared" si="39"/>
        <v/>
      </c>
      <c r="AA46" s="7" t="str">
        <f t="shared" si="41"/>
        <v/>
      </c>
      <c r="AB46" s="7" t="str">
        <f>$Y$15</f>
        <v/>
      </c>
      <c r="AC46" s="7" t="str">
        <f>$Y$16</f>
        <v/>
      </c>
      <c r="AD46" s="7" t="str">
        <f>$Y$17</f>
        <v/>
      </c>
      <c r="AE46" s="7" t="str">
        <f>$Y$18</f>
        <v/>
      </c>
      <c r="AF46" s="7" t="str">
        <f>$Y$19</f>
        <v/>
      </c>
      <c r="AG46" s="7">
        <f>$Z$3</f>
        <v>3</v>
      </c>
      <c r="AH46" s="7">
        <f>$Z$4</f>
        <v>6</v>
      </c>
      <c r="AI46" s="7">
        <f>$Z$5</f>
        <v>2</v>
      </c>
      <c r="AJ46" s="7">
        <f>$Z$6</f>
        <v>7</v>
      </c>
      <c r="AK46" s="7">
        <f>$Z$7</f>
        <v>4</v>
      </c>
      <c r="AL46" s="7">
        <f>$Z$8</f>
        <v>1</v>
      </c>
      <c r="AM46" s="7">
        <f>$Z$9</f>
        <v>5</v>
      </c>
      <c r="AN46" s="7" t="str">
        <f>$Z$10</f>
        <v/>
      </c>
      <c r="AO46" s="7" t="str">
        <f>$Z$11</f>
        <v/>
      </c>
      <c r="AP46" s="7" t="str">
        <f>$Z$12</f>
        <v/>
      </c>
      <c r="AQ46" s="7" t="str">
        <f>$Z$13</f>
        <v/>
      </c>
      <c r="AR46" s="7" t="str">
        <f>$Z$14</f>
        <v/>
      </c>
      <c r="AS46" s="7" t="str">
        <f>$Z$15</f>
        <v/>
      </c>
      <c r="AT46" s="7" t="str">
        <f>$Z$16</f>
        <v/>
      </c>
      <c r="AU46" s="7" t="str">
        <f>$Z$17</f>
        <v/>
      </c>
      <c r="AV46" s="7" t="str">
        <f>$Z$18</f>
        <v/>
      </c>
      <c r="AW46" s="7" t="str">
        <f>$Z$19</f>
        <v/>
      </c>
      <c r="BD46" s="7">
        <f t="shared" si="20"/>
        <v>1</v>
      </c>
      <c r="BE46" s="7">
        <f t="shared" si="21"/>
        <v>2</v>
      </c>
      <c r="BF46" s="7">
        <f t="shared" si="22"/>
        <v>6</v>
      </c>
      <c r="BG46" s="7">
        <f t="shared" si="24"/>
        <v>5</v>
      </c>
      <c r="BH46" s="7">
        <f t="shared" si="28"/>
        <v>6</v>
      </c>
      <c r="BI46" s="7">
        <f t="shared" si="30"/>
        <v>7</v>
      </c>
      <c r="BJ46" s="7">
        <f t="shared" si="32"/>
        <v>4</v>
      </c>
      <c r="BK46" s="7" t="str">
        <f t="shared" si="34"/>
        <v/>
      </c>
      <c r="BL46" s="7" t="str">
        <f t="shared" si="36"/>
        <v/>
      </c>
      <c r="BM46" s="7" t="str">
        <f t="shared" si="38"/>
        <v/>
      </c>
      <c r="BN46" s="7" t="str">
        <f t="shared" si="40"/>
        <v/>
      </c>
      <c r="BO46" s="7" t="str">
        <f t="shared" si="42"/>
        <v/>
      </c>
      <c r="BP46" s="7" t="str">
        <f>$AA$15</f>
        <v/>
      </c>
      <c r="BQ46" s="7" t="str">
        <f>$AA$16</f>
        <v/>
      </c>
      <c r="BR46" s="7" t="str">
        <f>$AA$17</f>
        <v/>
      </c>
      <c r="BS46" s="7" t="str">
        <f>$AA$18</f>
        <v/>
      </c>
      <c r="BT46" s="7" t="str">
        <f>$AA$19</f>
        <v/>
      </c>
      <c r="BU46" s="7">
        <f>$AB$3</f>
        <v>5</v>
      </c>
      <c r="BV46" s="7">
        <f>$AB$4</f>
        <v>7</v>
      </c>
      <c r="BW46" s="7">
        <f>$AB$5</f>
        <v>1</v>
      </c>
      <c r="BX46" s="7">
        <f>$AB$6</f>
        <v>4</v>
      </c>
      <c r="BY46" s="7">
        <f>$AB$7</f>
        <v>2</v>
      </c>
      <c r="BZ46" s="7">
        <f>$AB$8</f>
        <v>6</v>
      </c>
      <c r="CA46" s="7">
        <f>$AB$9</f>
        <v>3</v>
      </c>
      <c r="CB46" s="7" t="str">
        <f>$AB$10</f>
        <v/>
      </c>
      <c r="CC46" s="7" t="str">
        <f>$AB$11</f>
        <v/>
      </c>
      <c r="CD46" s="7" t="str">
        <f>$AB$12</f>
        <v/>
      </c>
      <c r="CE46" s="7" t="str">
        <f>$AB$13</f>
        <v/>
      </c>
      <c r="CF46" s="7" t="str">
        <f>$AB$14</f>
        <v/>
      </c>
      <c r="CG46" s="7" t="str">
        <f>$AB$15</f>
        <v/>
      </c>
      <c r="CH46" s="7" t="str">
        <f>$AB$16</f>
        <v/>
      </c>
      <c r="CI46" s="7" t="str">
        <f>$AB$17</f>
        <v/>
      </c>
      <c r="CJ46" s="7" t="str">
        <f>$AB$18</f>
        <v/>
      </c>
      <c r="CK46" s="7" t="str">
        <f>$AB$19</f>
        <v/>
      </c>
      <c r="CR46" s="7" t="str">
        <f t="shared" si="8"/>
        <v/>
      </c>
      <c r="CS46" s="7" t="str">
        <f t="shared" si="9"/>
        <v/>
      </c>
      <c r="CT46" s="458">
        <v>46</v>
      </c>
    </row>
    <row r="47" spans="1:98" x14ac:dyDescent="0.2">
      <c r="A47" s="7">
        <f t="shared" si="2"/>
        <v>0</v>
      </c>
      <c r="B47" s="7" t="e">
        <f t="shared" si="25"/>
        <v>#VALUE!</v>
      </c>
      <c r="C47" s="7" t="e">
        <f t="shared" si="3"/>
        <v>#VALUE!</v>
      </c>
      <c r="D47" s="7" t="str">
        <f t="shared" si="10"/>
        <v/>
      </c>
      <c r="E47" s="7" t="str">
        <f t="shared" si="26"/>
        <v/>
      </c>
      <c r="F47" s="525" t="str">
        <f t="shared" si="4"/>
        <v/>
      </c>
      <c r="G47" s="524"/>
      <c r="H47" s="524"/>
      <c r="I47" s="524"/>
      <c r="J47" s="523">
        <v>47</v>
      </c>
      <c r="K47" s="29" t="e">
        <f t="shared" si="5"/>
        <v>#N/A</v>
      </c>
      <c r="L47" s="7" t="str">
        <f t="shared" si="6"/>
        <v/>
      </c>
      <c r="O47" s="7" t="s">
        <v>219</v>
      </c>
      <c r="CR47" s="7" t="str">
        <f t="shared" si="8"/>
        <v/>
      </c>
      <c r="CS47" s="7" t="str">
        <f t="shared" si="9"/>
        <v/>
      </c>
      <c r="CT47" s="458">
        <v>47</v>
      </c>
    </row>
    <row r="48" spans="1:98" x14ac:dyDescent="0.2">
      <c r="A48" s="7">
        <f t="shared" si="2"/>
        <v>0</v>
      </c>
      <c r="B48" s="7" t="e">
        <f t="shared" si="25"/>
        <v>#VALUE!</v>
      </c>
      <c r="C48" s="7" t="e">
        <f t="shared" si="3"/>
        <v>#VALUE!</v>
      </c>
      <c r="D48" s="7" t="str">
        <f t="shared" si="10"/>
        <v/>
      </c>
      <c r="E48" s="7" t="str">
        <f t="shared" si="26"/>
        <v/>
      </c>
      <c r="F48" s="525" t="str">
        <f t="shared" si="4"/>
        <v/>
      </c>
      <c r="G48" s="524"/>
      <c r="H48" s="524"/>
      <c r="I48" s="524"/>
      <c r="J48" s="523">
        <v>48</v>
      </c>
      <c r="K48" s="29" t="e">
        <f t="shared" si="5"/>
        <v>#N/A</v>
      </c>
      <c r="L48" s="7" t="str">
        <f t="shared" si="6"/>
        <v/>
      </c>
      <c r="CR48" s="7" t="str">
        <f t="shared" si="8"/>
        <v/>
      </c>
      <c r="CS48" s="7" t="str">
        <f t="shared" si="9"/>
        <v/>
      </c>
      <c r="CT48" s="458">
        <v>48</v>
      </c>
    </row>
    <row r="49" spans="1:98" x14ac:dyDescent="0.2">
      <c r="A49" s="7">
        <f t="shared" si="2"/>
        <v>0</v>
      </c>
      <c r="B49" s="7" t="e">
        <f t="shared" si="25"/>
        <v>#VALUE!</v>
      </c>
      <c r="C49" s="7" t="e">
        <f t="shared" si="3"/>
        <v>#VALUE!</v>
      </c>
      <c r="D49" s="7" t="str">
        <f t="shared" si="10"/>
        <v/>
      </c>
      <c r="E49" s="7" t="str">
        <f t="shared" si="26"/>
        <v/>
      </c>
      <c r="F49" s="525" t="str">
        <f t="shared" si="4"/>
        <v/>
      </c>
      <c r="G49" s="524"/>
      <c r="H49" s="524"/>
      <c r="I49" s="524"/>
      <c r="J49" s="523">
        <v>49</v>
      </c>
      <c r="K49" s="29" t="e">
        <f t="shared" si="5"/>
        <v>#N/A</v>
      </c>
      <c r="L49" s="7" t="str">
        <f t="shared" si="6"/>
        <v/>
      </c>
      <c r="O49" s="16">
        <f>Q1</f>
        <v>7</v>
      </c>
      <c r="P49" s="7">
        <f>VLOOKUP($O$49,$O$32:$CQ$46,42,1)</f>
        <v>1</v>
      </c>
      <c r="Q49" s="7">
        <f>VLOOKUP($O$49,$O$32:$CQ$46,43,1)</f>
        <v>2</v>
      </c>
      <c r="R49" s="7">
        <f>VLOOKUP($O$49,$O$32:$CQ$46,44,1)</f>
        <v>6</v>
      </c>
      <c r="S49" s="7">
        <f>VLOOKUP($O$49,$O$32:$CQ$46,45,1)</f>
        <v>5</v>
      </c>
      <c r="T49" s="7">
        <f>VLOOKUP($O$49,$O$32:$CQ$46,46,1)</f>
        <v>6</v>
      </c>
      <c r="U49" s="7">
        <f>VLOOKUP($O$49,$O$32:$CQ$46,47,1)</f>
        <v>7</v>
      </c>
      <c r="V49" s="7">
        <f>VLOOKUP($O$49,$O$32:$CQ$46,48,1)</f>
        <v>4</v>
      </c>
      <c r="W49" s="7">
        <f>VLOOKUP($O$49,$O$32:$CQ$46,49,1)</f>
        <v>5</v>
      </c>
      <c r="X49" s="7">
        <f>VLOOKUP($O$49,$O$32:$CQ$46,50,1)</f>
        <v>7</v>
      </c>
      <c r="Y49" s="7">
        <f>VLOOKUP($O$49,$O$32:$CQ$46,51,1)</f>
        <v>1</v>
      </c>
      <c r="Z49" s="7">
        <f>VLOOKUP($O$49,$O$32:$CQ$46,52,1)</f>
        <v>4</v>
      </c>
      <c r="AA49" s="7">
        <f>VLOOKUP($O$49,$O$32:$CQ$46,53,1)</f>
        <v>2</v>
      </c>
      <c r="AB49" s="7">
        <f>VLOOKUP($O$49,$O$32:$CQ$46,54,1)</f>
        <v>6</v>
      </c>
      <c r="AC49" s="7">
        <f>VLOOKUP($O$49,$O$32:$CQ$46,55,1)</f>
        <v>3</v>
      </c>
      <c r="AD49" s="7">
        <f>VLOOKUP($O$49,$O$32:$CQ$46,56,1)</f>
        <v>0</v>
      </c>
      <c r="AE49" s="7">
        <f>VLOOKUP($O$49,$O$32:$CQ$46,57,1)</f>
        <v>0</v>
      </c>
      <c r="AF49" s="7">
        <f>VLOOKUP($O$49,$O$32:$CQ$46,58,1)</f>
        <v>0</v>
      </c>
      <c r="AG49" s="7">
        <f>VLOOKUP($O$49,$O$32:$CQ$46,59,1)</f>
        <v>0</v>
      </c>
      <c r="AH49" s="7">
        <f>VLOOKUP($O$49,$O$32:$CQ$46,60,1)</f>
        <v>0</v>
      </c>
      <c r="AI49" s="7">
        <f>VLOOKUP($O$49,$O$32:$CQ$46,61,1)</f>
        <v>0</v>
      </c>
      <c r="AJ49" s="7">
        <f>VLOOKUP($O$49,$O$32:$CQ$46,62,1)</f>
        <v>0</v>
      </c>
      <c r="AK49" s="7">
        <f>VLOOKUP($O$49,$O$32:$CQ$46,63,1)</f>
        <v>0</v>
      </c>
      <c r="AL49" s="7">
        <f>VLOOKUP($O$49,$O$32:$CQ$46,64,1)</f>
        <v>0</v>
      </c>
      <c r="AM49" s="7">
        <f>VLOOKUP($O$49,$O$32:$CQ$46,65,1)</f>
        <v>0</v>
      </c>
      <c r="AN49" s="7">
        <f>VLOOKUP($O$49,$O$32:$CQ$46,66,1)</f>
        <v>0</v>
      </c>
      <c r="AO49" s="7">
        <f>VLOOKUP($O$49,$O$32:$CQ$46,67,1)</f>
        <v>0</v>
      </c>
      <c r="AP49" s="7">
        <f>VLOOKUP($O$49,$O$32:$CQ$46,68,1)</f>
        <v>0</v>
      </c>
      <c r="AQ49" s="7">
        <f>VLOOKUP($O$49,$O$32:$CQ$46,69,1)</f>
        <v>0</v>
      </c>
      <c r="AR49" s="7">
        <f>VLOOKUP($O$49,$O$32:$CQ$46,70,1)</f>
        <v>0</v>
      </c>
      <c r="AS49" s="7">
        <f>VLOOKUP($O$49,$O$32:$CQ$46,71,1)</f>
        <v>0</v>
      </c>
      <c r="AT49" s="7">
        <f>VLOOKUP($O$49,$O$32:$CQ$46,72,1)</f>
        <v>0</v>
      </c>
      <c r="AU49" s="7">
        <f>VLOOKUP($O$49,$O$32:$CQ$46,73,1)</f>
        <v>0</v>
      </c>
      <c r="AV49" s="7">
        <f>VLOOKUP($O$49,$O$32:$CQ$46,74,1)</f>
        <v>0</v>
      </c>
      <c r="AW49" s="7">
        <f>VLOOKUP($O$49,$O$32:$CQ$46,75,1)</f>
        <v>0</v>
      </c>
      <c r="CR49" s="7" t="str">
        <f t="shared" si="8"/>
        <v/>
      </c>
      <c r="CS49" s="7" t="str">
        <f t="shared" si="9"/>
        <v/>
      </c>
      <c r="CT49" s="458">
        <v>49</v>
      </c>
    </row>
    <row r="50" spans="1:98" x14ac:dyDescent="0.2">
      <c r="A50" s="7">
        <f t="shared" si="2"/>
        <v>0</v>
      </c>
      <c r="B50" s="7" t="e">
        <f t="shared" si="25"/>
        <v>#VALUE!</v>
      </c>
      <c r="C50" s="7" t="e">
        <f t="shared" si="3"/>
        <v>#VALUE!</v>
      </c>
      <c r="D50" s="7" t="str">
        <f t="shared" si="10"/>
        <v/>
      </c>
      <c r="E50" s="7" t="str">
        <f t="shared" si="26"/>
        <v/>
      </c>
      <c r="F50" s="525" t="str">
        <f t="shared" si="4"/>
        <v/>
      </c>
      <c r="G50" s="524"/>
      <c r="H50" s="524"/>
      <c r="I50" s="524"/>
      <c r="J50" s="523">
        <v>50</v>
      </c>
      <c r="K50" s="29" t="e">
        <f t="shared" si="5"/>
        <v>#N/A</v>
      </c>
      <c r="L50" s="7" t="str">
        <f t="shared" si="6"/>
        <v/>
      </c>
      <c r="O50" s="16">
        <f>O49</f>
        <v>7</v>
      </c>
      <c r="P50" s="7">
        <f>VLOOKUP($O$49,$O$32:$CQ$46,2,1)</f>
        <v>7</v>
      </c>
      <c r="Q50" s="7">
        <f>VLOOKUP($O$49,$O$32:$CQ$46,3,1)</f>
        <v>4</v>
      </c>
      <c r="R50" s="7">
        <f>VLOOKUP($O$49,$O$32:$CQ$46,4,1)</f>
        <v>3</v>
      </c>
      <c r="S50" s="7">
        <f>VLOOKUP($O$49,$O$32:$CQ$46,5,1)</f>
        <v>1</v>
      </c>
      <c r="T50" s="7">
        <f>VLOOKUP($O$49,$O$32:$CQ$46,6,1)</f>
        <v>3</v>
      </c>
      <c r="U50" s="7">
        <f>VLOOKUP($O$49,$O$32:$CQ$46,7,1)</f>
        <v>5</v>
      </c>
      <c r="V50" s="7">
        <f>VLOOKUP($O$49,$O$32:$CQ$46,8,1)</f>
        <v>2</v>
      </c>
      <c r="W50" s="7">
        <f>VLOOKUP($O$49,$O$32:$CQ$46,9,1)</f>
        <v>3</v>
      </c>
      <c r="X50" s="7">
        <f>VLOOKUP($O$49,$O$32:$CQ$46,10,1)</f>
        <v>6</v>
      </c>
      <c r="Y50" s="7">
        <f>VLOOKUP($O$49,$O$32:$CQ$46,11,1)</f>
        <v>2</v>
      </c>
      <c r="Z50" s="7">
        <f>VLOOKUP($O$49,$O$32:$CQ$46,12,1)</f>
        <v>7</v>
      </c>
      <c r="AA50" s="7">
        <f>VLOOKUP($O$49,$O$32:$CQ$46,13,1)</f>
        <v>4</v>
      </c>
      <c r="AB50" s="7">
        <f>VLOOKUP($O$49,$O$32:$CQ$46,14,1)</f>
        <v>1</v>
      </c>
      <c r="AC50" s="7">
        <f>VLOOKUP($O$49,$O$32:$CQ$46,15,1)</f>
        <v>5</v>
      </c>
      <c r="AD50" s="7">
        <f>VLOOKUP($O$49,$O$32:$CQ$46,16,1)</f>
        <v>0</v>
      </c>
      <c r="AE50" s="7">
        <f>VLOOKUP($O$49,$O$32:$CQ$46,17,1)</f>
        <v>0</v>
      </c>
      <c r="AF50" s="7">
        <f>VLOOKUP($O$49,$O$32:$CQ$46,18,1)</f>
        <v>0</v>
      </c>
      <c r="AG50" s="7">
        <f>VLOOKUP($O$49,$O$32:$CQ$46,19,1)</f>
        <v>0</v>
      </c>
      <c r="AH50" s="7">
        <f>VLOOKUP($O$49,$O$32:$CQ$46,20,1)</f>
        <v>0</v>
      </c>
      <c r="AI50" s="7">
        <f>VLOOKUP($O$49,$O$32:$CQ$46,21,1)</f>
        <v>0</v>
      </c>
      <c r="AJ50" s="7">
        <f>VLOOKUP($O$49,$O$32:$CQ$46,22,1)</f>
        <v>0</v>
      </c>
      <c r="AK50" s="7">
        <f>VLOOKUP($O$49,$O$32:$CQ$46,23,1)</f>
        <v>0</v>
      </c>
      <c r="AL50" s="7">
        <f>VLOOKUP($O$49,$O$32:$CQ$46,24,1)</f>
        <v>0</v>
      </c>
      <c r="AM50" s="7">
        <f>VLOOKUP($O$49,$O$32:$CQ$46,25,1)</f>
        <v>0</v>
      </c>
      <c r="AN50" s="7">
        <f>VLOOKUP($O$49,$O$32:$CQ$46,26,1)</f>
        <v>0</v>
      </c>
      <c r="AO50" s="7">
        <f>VLOOKUP($O$49,$O$32:$CQ$46,27,1)</f>
        <v>0</v>
      </c>
      <c r="AP50" s="7">
        <f>VLOOKUP($O$49,$O$32:$CQ$46,28,1)</f>
        <v>0</v>
      </c>
      <c r="AQ50" s="7">
        <f>VLOOKUP($O$49,$O$32:$CQ$46,29,1)</f>
        <v>0</v>
      </c>
      <c r="AR50" s="7">
        <f>VLOOKUP($O$49,$O$32:$CQ$46,30,1)</f>
        <v>0</v>
      </c>
      <c r="AS50" s="7">
        <f>VLOOKUP($O$49,$O$32:$CQ$46,31,1)</f>
        <v>0</v>
      </c>
      <c r="AT50" s="7">
        <f>VLOOKUP($O$49,$O$32:$CQ$46,32,1)</f>
        <v>0</v>
      </c>
      <c r="AU50" s="7">
        <f>VLOOKUP($O$49,$O$32:$CQ$46,33,1)</f>
        <v>0</v>
      </c>
      <c r="AV50" s="7">
        <f>VLOOKUP($O$49,$O$32:$CQ$46,34,1)</f>
        <v>0</v>
      </c>
      <c r="AW50" s="7">
        <f>VLOOKUP($O$49,$O$32:$CQ$46,35,1)</f>
        <v>0</v>
      </c>
      <c r="CR50" s="7" t="str">
        <f t="shared" si="8"/>
        <v/>
      </c>
      <c r="CS50" s="7" t="str">
        <f t="shared" si="9"/>
        <v/>
      </c>
      <c r="CT50" s="458">
        <v>50</v>
      </c>
    </row>
    <row r="51" spans="1:98" x14ac:dyDescent="0.2">
      <c r="A51" s="7">
        <f t="shared" si="2"/>
        <v>0</v>
      </c>
      <c r="B51" s="7" t="e">
        <f t="shared" si="25"/>
        <v>#VALUE!</v>
      </c>
      <c r="C51" s="7" t="e">
        <f t="shared" si="3"/>
        <v>#VALUE!</v>
      </c>
      <c r="D51" s="7" t="str">
        <f t="shared" si="10"/>
        <v/>
      </c>
      <c r="E51" s="7" t="str">
        <f t="shared" si="26"/>
        <v/>
      </c>
      <c r="F51" s="525" t="str">
        <f t="shared" si="4"/>
        <v/>
      </c>
      <c r="G51" s="524"/>
      <c r="H51" s="524"/>
      <c r="I51" s="524"/>
      <c r="J51" s="523">
        <v>51</v>
      </c>
      <c r="K51" s="29" t="e">
        <f t="shared" si="5"/>
        <v>#N/A</v>
      </c>
      <c r="L51" s="7" t="str">
        <f t="shared" si="6"/>
        <v/>
      </c>
      <c r="O51" s="7">
        <f>2*O50</f>
        <v>14</v>
      </c>
      <c r="CR51" s="7" t="str">
        <f t="shared" si="8"/>
        <v/>
      </c>
      <c r="CS51" s="7" t="str">
        <f t="shared" si="9"/>
        <v/>
      </c>
      <c r="CT51" s="458">
        <v>51</v>
      </c>
    </row>
    <row r="52" spans="1:98" x14ac:dyDescent="0.2">
      <c r="A52" s="7">
        <f t="shared" si="2"/>
        <v>0</v>
      </c>
      <c r="B52" s="7" t="e">
        <f t="shared" si="25"/>
        <v>#VALUE!</v>
      </c>
      <c r="C52" s="7" t="e">
        <f t="shared" si="3"/>
        <v>#VALUE!</v>
      </c>
      <c r="D52" s="7" t="str">
        <f t="shared" si="10"/>
        <v/>
      </c>
      <c r="E52" s="7" t="str">
        <f t="shared" si="26"/>
        <v/>
      </c>
      <c r="F52" s="525" t="str">
        <f t="shared" si="4"/>
        <v/>
      </c>
      <c r="G52" s="524"/>
      <c r="H52" s="524"/>
      <c r="I52" s="524"/>
      <c r="J52" s="523">
        <v>52</v>
      </c>
      <c r="K52" s="29" t="e">
        <f t="shared" si="5"/>
        <v>#N/A</v>
      </c>
      <c r="L52" s="7" t="str">
        <f t="shared" si="6"/>
        <v/>
      </c>
      <c r="CR52" s="7" t="str">
        <f t="shared" si="8"/>
        <v/>
      </c>
      <c r="CS52" s="7" t="str">
        <f t="shared" si="9"/>
        <v/>
      </c>
      <c r="CT52" s="458">
        <v>52</v>
      </c>
    </row>
    <row r="53" spans="1:98" x14ac:dyDescent="0.2">
      <c r="A53" s="7">
        <f t="shared" si="2"/>
        <v>0</v>
      </c>
      <c r="B53" s="7" t="e">
        <f t="shared" si="25"/>
        <v>#VALUE!</v>
      </c>
      <c r="C53" s="7" t="e">
        <f t="shared" si="3"/>
        <v>#VALUE!</v>
      </c>
      <c r="D53" s="7" t="str">
        <f t="shared" si="10"/>
        <v/>
      </c>
      <c r="E53" s="7" t="str">
        <f t="shared" si="26"/>
        <v/>
      </c>
      <c r="F53" s="525" t="str">
        <f t="shared" si="4"/>
        <v/>
      </c>
      <c r="G53" s="524"/>
      <c r="H53" s="524"/>
      <c r="I53" s="524"/>
      <c r="J53" s="523">
        <v>53</v>
      </c>
      <c r="K53" s="29" t="e">
        <f t="shared" si="5"/>
        <v>#N/A</v>
      </c>
      <c r="L53" s="7" t="str">
        <f t="shared" si="6"/>
        <v/>
      </c>
      <c r="CR53" s="7" t="str">
        <f t="shared" si="8"/>
        <v/>
      </c>
      <c r="CS53" s="7" t="str">
        <f t="shared" si="9"/>
        <v/>
      </c>
      <c r="CT53" s="458">
        <v>53</v>
      </c>
    </row>
    <row r="54" spans="1:98" x14ac:dyDescent="0.2">
      <c r="A54" s="7">
        <f t="shared" si="2"/>
        <v>0</v>
      </c>
      <c r="B54" s="7" t="e">
        <f t="shared" si="25"/>
        <v>#VALUE!</v>
      </c>
      <c r="C54" s="7" t="e">
        <f t="shared" si="3"/>
        <v>#VALUE!</v>
      </c>
      <c r="D54" s="7" t="str">
        <f t="shared" si="10"/>
        <v/>
      </c>
      <c r="E54" s="7" t="str">
        <f t="shared" si="26"/>
        <v/>
      </c>
      <c r="F54" s="525" t="str">
        <f t="shared" si="4"/>
        <v/>
      </c>
      <c r="G54" s="524"/>
      <c r="H54" s="524"/>
      <c r="I54" s="524"/>
      <c r="J54" s="523">
        <v>54</v>
      </c>
      <c r="K54" s="29" t="e">
        <f t="shared" si="5"/>
        <v>#N/A</v>
      </c>
      <c r="L54" s="7" t="str">
        <f t="shared" si="6"/>
        <v/>
      </c>
      <c r="O54" s="7" t="s">
        <v>221</v>
      </c>
      <c r="CR54" s="7" t="str">
        <f t="shared" si="8"/>
        <v/>
      </c>
      <c r="CS54" s="7" t="str">
        <f t="shared" si="9"/>
        <v/>
      </c>
      <c r="CT54" s="458">
        <v>54</v>
      </c>
    </row>
    <row r="55" spans="1:98" x14ac:dyDescent="0.2">
      <c r="A55" s="7">
        <f t="shared" si="2"/>
        <v>0</v>
      </c>
      <c r="B55" s="7" t="e">
        <f t="shared" si="25"/>
        <v>#VALUE!</v>
      </c>
      <c r="C55" s="7" t="e">
        <f t="shared" si="3"/>
        <v>#VALUE!</v>
      </c>
      <c r="D55" s="7" t="str">
        <f t="shared" si="10"/>
        <v/>
      </c>
      <c r="E55" s="7" t="str">
        <f t="shared" si="26"/>
        <v/>
      </c>
      <c r="F55" s="525" t="str">
        <f t="shared" si="4"/>
        <v/>
      </c>
      <c r="G55" s="524"/>
      <c r="H55" s="524"/>
      <c r="I55" s="524"/>
      <c r="J55" s="523">
        <v>55</v>
      </c>
      <c r="K55" s="29" t="e">
        <f t="shared" si="5"/>
        <v>#N/A</v>
      </c>
      <c r="L55" s="7" t="str">
        <f t="shared" si="6"/>
        <v/>
      </c>
      <c r="CR55" s="7" t="str">
        <f t="shared" si="8"/>
        <v/>
      </c>
      <c r="CS55" s="7" t="str">
        <f t="shared" si="9"/>
        <v/>
      </c>
      <c r="CT55" s="458">
        <v>55</v>
      </c>
    </row>
    <row r="56" spans="1:98" x14ac:dyDescent="0.2">
      <c r="A56" s="7">
        <f t="shared" si="2"/>
        <v>0</v>
      </c>
      <c r="B56" s="7" t="e">
        <f t="shared" si="25"/>
        <v>#VALUE!</v>
      </c>
      <c r="C56" s="7" t="e">
        <f t="shared" si="3"/>
        <v>#VALUE!</v>
      </c>
      <c r="D56" s="7" t="str">
        <f t="shared" si="10"/>
        <v/>
      </c>
      <c r="E56" s="7" t="str">
        <f t="shared" si="26"/>
        <v/>
      </c>
      <c r="F56" s="525" t="str">
        <f t="shared" si="4"/>
        <v/>
      </c>
      <c r="G56" s="524"/>
      <c r="H56" s="524"/>
      <c r="I56" s="524"/>
      <c r="J56" s="523">
        <v>56</v>
      </c>
      <c r="K56" s="29" t="e">
        <f t="shared" si="5"/>
        <v>#N/A</v>
      </c>
      <c r="L56" s="7" t="str">
        <f t="shared" si="6"/>
        <v/>
      </c>
      <c r="CR56" s="7" t="str">
        <f t="shared" si="8"/>
        <v/>
      </c>
      <c r="CS56" s="7" t="str">
        <f t="shared" si="9"/>
        <v/>
      </c>
      <c r="CT56" s="458">
        <v>56</v>
      </c>
    </row>
    <row r="57" spans="1:98" x14ac:dyDescent="0.2">
      <c r="A57" s="7">
        <f t="shared" si="2"/>
        <v>0</v>
      </c>
      <c r="B57" s="7" t="e">
        <f t="shared" si="25"/>
        <v>#VALUE!</v>
      </c>
      <c r="C57" s="7" t="e">
        <f t="shared" si="3"/>
        <v>#VALUE!</v>
      </c>
      <c r="D57" s="7" t="str">
        <f t="shared" si="10"/>
        <v/>
      </c>
      <c r="E57" s="7" t="str">
        <f t="shared" si="26"/>
        <v/>
      </c>
      <c r="F57" s="525" t="str">
        <f t="shared" si="4"/>
        <v/>
      </c>
      <c r="G57" s="524"/>
      <c r="H57" s="524"/>
      <c r="I57" s="524"/>
      <c r="J57" s="523">
        <v>57</v>
      </c>
      <c r="K57" s="29" t="e">
        <f t="shared" si="5"/>
        <v>#N/A</v>
      </c>
      <c r="L57" s="7" t="str">
        <f t="shared" si="6"/>
        <v/>
      </c>
      <c r="CR57" s="7" t="str">
        <f t="shared" si="8"/>
        <v/>
      </c>
      <c r="CS57" s="7" t="str">
        <f t="shared" si="9"/>
        <v/>
      </c>
      <c r="CT57" s="458">
        <v>57</v>
      </c>
    </row>
    <row r="58" spans="1:98" x14ac:dyDescent="0.2">
      <c r="A58" s="7">
        <f t="shared" si="2"/>
        <v>0</v>
      </c>
      <c r="B58" s="7" t="e">
        <f t="shared" si="25"/>
        <v>#VALUE!</v>
      </c>
      <c r="C58" s="7" t="e">
        <f t="shared" si="3"/>
        <v>#VALUE!</v>
      </c>
      <c r="D58" s="7" t="str">
        <f t="shared" si="10"/>
        <v/>
      </c>
      <c r="E58" s="7" t="str">
        <f t="shared" si="26"/>
        <v/>
      </c>
      <c r="F58" s="525" t="str">
        <f t="shared" si="4"/>
        <v/>
      </c>
      <c r="G58" s="524"/>
      <c r="H58" s="524"/>
      <c r="I58" s="524"/>
      <c r="J58" s="523">
        <v>58</v>
      </c>
      <c r="K58" s="29" t="e">
        <f t="shared" si="5"/>
        <v>#N/A</v>
      </c>
      <c r="L58" s="7" t="str">
        <f t="shared" si="6"/>
        <v/>
      </c>
      <c r="O58" s="16">
        <f>O50</f>
        <v>7</v>
      </c>
      <c r="P58" s="7">
        <f t="shared" ref="P58:U58" si="43">IF($O$49=3,P32,IF($O$49=4,P33,IF($O$49=5,P34,IF($O$49=6,P35,IF($O$49=7,P36,IF($O$49=8,P37,0))))))</f>
        <v>7</v>
      </c>
      <c r="Q58" s="7">
        <f t="shared" si="43"/>
        <v>4</v>
      </c>
      <c r="R58" s="7">
        <f t="shared" si="43"/>
        <v>3</v>
      </c>
      <c r="S58" s="7">
        <f t="shared" si="43"/>
        <v>1</v>
      </c>
      <c r="T58" s="7">
        <f t="shared" si="43"/>
        <v>3</v>
      </c>
      <c r="U58" s="7">
        <f t="shared" si="43"/>
        <v>5</v>
      </c>
      <c r="V58" s="7">
        <f>IF($O$49=3,BD32,IF($O$49=4,V33,IF($O$49=5,V34,IF($O$49=6,V35,IF($O$49=7,V36,IF($O$49=8,V37,0))))))</f>
        <v>2</v>
      </c>
      <c r="W58" s="7">
        <f>IF($O$49=3,BE32,IF($O$49=4,W33,IF($O$49=5,W34,IF($O$49=6,W35,IF($O$49=7,W36,IF($O$49=8,W37,0))))))</f>
        <v>3</v>
      </c>
      <c r="X58" s="7">
        <f>IF($O$49=3,BF32,IF($O$49=4,BD33,IF($O$49=5,X34,IF($O$49=6,X35,IF($O$49=7,X36,IF($O$49=8,X37,0))))))</f>
        <v>6</v>
      </c>
      <c r="Y58" s="7">
        <f>IF($O$49=3,BG32,IF($O$49=4,BE33,IF($O$49=5,Y34,IF($O$49=6,Y35,IF($O$49=7,Y36,IF($O$49=8,Y37,0))))))</f>
        <v>2</v>
      </c>
      <c r="Z58" s="7">
        <f>IF($O$49=3,BH32,IF($O$49=4,BF33,IF($O$49=5,BD34,IF($O$49=6,Z35,IF($O$49=7,Z36,IF($O$49=8,Z37,0))))))</f>
        <v>7</v>
      </c>
      <c r="AA58" s="7">
        <f>IF($O$49=3,BI32,IF($O$49=4,BG33,IF($O$49=5,BE34,IF($O$49=6,AA35,IF($O$49=7,AA36,IF($O$49=8,AA37,0))))))</f>
        <v>4</v>
      </c>
      <c r="AB58" s="7">
        <f>IF($O$49=3,BJ32,IF($O$49=4,BH33,IF($O$49=5,BF34,IF($O$49=6,BD35,IF($O$49=7,AB36,IF($O$49=8,AB37,0))))))</f>
        <v>1</v>
      </c>
      <c r="AC58" s="7">
        <f>IF($O$49=3,BK32,IF($O$49=4,BI33,IF($O$49=5,BG34,IF($O$49=6,BE35,IF($O$49=7,AC36,IF($O$49=8,AC37,0))))))</f>
        <v>5</v>
      </c>
      <c r="AD58" s="7">
        <f>IF($O$49=3,BL32,IF($O$49=4,BJ33,IF($O$49=5,BH34,IF($O$49=6,BF35,IF($O$49=7,BD36,IF($O$49=8,AD37,0))))))</f>
        <v>1</v>
      </c>
      <c r="AE58" s="7">
        <f>IF($O$49=3,BM32,IF($O$49=4,BK33,IF($O$49=5,BI34,IF($O$49=6,BG35,IF($O$49=7,BE36,IF($O$49=8,AE37,0))))))</f>
        <v>2</v>
      </c>
      <c r="AF58" s="7">
        <f t="shared" ref="AF58:AU58" si="44">IF($O$49=3,BN32,IF($O$49=4,BL33,IF($O$49=5,BJ34,IF($O$49=6,BH35,IF($O$49=7,BF36,IF($O$49=8,BD37,0))))))</f>
        <v>6</v>
      </c>
      <c r="AG58" s="7">
        <f t="shared" si="44"/>
        <v>5</v>
      </c>
      <c r="AH58" s="7">
        <f t="shared" si="44"/>
        <v>6</v>
      </c>
      <c r="AI58" s="7">
        <f t="shared" si="44"/>
        <v>7</v>
      </c>
      <c r="AJ58" s="7">
        <f t="shared" si="44"/>
        <v>4</v>
      </c>
      <c r="AK58" s="7">
        <f t="shared" si="44"/>
        <v>5</v>
      </c>
      <c r="AL58" s="7">
        <f t="shared" si="44"/>
        <v>7</v>
      </c>
      <c r="AM58" s="7">
        <f t="shared" si="44"/>
        <v>1</v>
      </c>
      <c r="AN58" s="7">
        <f t="shared" si="44"/>
        <v>4</v>
      </c>
      <c r="AO58" s="7">
        <f t="shared" si="44"/>
        <v>2</v>
      </c>
      <c r="AP58" s="7">
        <f t="shared" si="44"/>
        <v>6</v>
      </c>
      <c r="AQ58" s="7">
        <f t="shared" si="44"/>
        <v>3</v>
      </c>
      <c r="AR58" s="7">
        <f t="shared" si="44"/>
        <v>0</v>
      </c>
      <c r="AS58" s="7">
        <f t="shared" si="44"/>
        <v>0</v>
      </c>
      <c r="AT58" s="7">
        <f t="shared" si="44"/>
        <v>0</v>
      </c>
      <c r="AU58" s="7">
        <f t="shared" si="44"/>
        <v>0</v>
      </c>
      <c r="CR58" s="7" t="str">
        <f t="shared" si="8"/>
        <v/>
      </c>
      <c r="CS58" s="7" t="str">
        <f t="shared" si="9"/>
        <v/>
      </c>
      <c r="CT58" s="458">
        <v>58</v>
      </c>
    </row>
    <row r="59" spans="1:98" x14ac:dyDescent="0.2">
      <c r="A59" s="7">
        <f t="shared" si="2"/>
        <v>0</v>
      </c>
      <c r="B59" s="7" t="e">
        <f t="shared" si="25"/>
        <v>#VALUE!</v>
      </c>
      <c r="C59" s="7" t="e">
        <f t="shared" si="3"/>
        <v>#VALUE!</v>
      </c>
      <c r="D59" s="7" t="str">
        <f t="shared" si="10"/>
        <v/>
      </c>
      <c r="E59" s="7" t="str">
        <f t="shared" si="26"/>
        <v/>
      </c>
      <c r="F59" s="525" t="str">
        <f t="shared" si="4"/>
        <v/>
      </c>
      <c r="G59" s="524"/>
      <c r="H59" s="524"/>
      <c r="I59" s="524"/>
      <c r="J59" s="523">
        <v>59</v>
      </c>
      <c r="K59" s="29" t="e">
        <f t="shared" si="5"/>
        <v>#N/A</v>
      </c>
      <c r="L59" s="7" t="str">
        <f t="shared" si="6"/>
        <v/>
      </c>
      <c r="CR59" s="7" t="str">
        <f t="shared" si="8"/>
        <v/>
      </c>
      <c r="CS59" s="7" t="str">
        <f t="shared" si="9"/>
        <v/>
      </c>
      <c r="CT59" s="458">
        <v>59</v>
      </c>
    </row>
    <row r="60" spans="1:98" x14ac:dyDescent="0.2">
      <c r="A60" s="7">
        <f t="shared" si="2"/>
        <v>0</v>
      </c>
      <c r="B60" s="7" t="e">
        <f t="shared" si="25"/>
        <v>#VALUE!</v>
      </c>
      <c r="C60" s="7" t="e">
        <f t="shared" si="3"/>
        <v>#VALUE!</v>
      </c>
      <c r="D60" s="7" t="str">
        <f t="shared" si="10"/>
        <v/>
      </c>
      <c r="E60" s="7" t="str">
        <f t="shared" si="26"/>
        <v/>
      </c>
      <c r="F60" s="525" t="str">
        <f t="shared" si="4"/>
        <v/>
      </c>
      <c r="G60" s="524"/>
      <c r="H60" s="524"/>
      <c r="I60" s="524"/>
      <c r="J60" s="523">
        <v>60</v>
      </c>
      <c r="K60" s="29" t="e">
        <f t="shared" si="5"/>
        <v>#N/A</v>
      </c>
      <c r="L60" s="7" t="str">
        <f t="shared" si="6"/>
        <v/>
      </c>
      <c r="CR60" s="7" t="str">
        <f t="shared" si="8"/>
        <v/>
      </c>
      <c r="CS60" s="7" t="str">
        <f t="shared" si="9"/>
        <v/>
      </c>
      <c r="CT60" s="458">
        <v>60</v>
      </c>
    </row>
    <row r="61" spans="1:98" x14ac:dyDescent="0.2">
      <c r="A61" s="7">
        <f t="shared" si="2"/>
        <v>0</v>
      </c>
      <c r="B61" s="7" t="e">
        <f t="shared" si="25"/>
        <v>#VALUE!</v>
      </c>
      <c r="C61" s="7" t="e">
        <f t="shared" si="3"/>
        <v>#VALUE!</v>
      </c>
      <c r="D61" s="7" t="str">
        <f t="shared" si="10"/>
        <v/>
      </c>
      <c r="E61" s="7" t="str">
        <f t="shared" si="26"/>
        <v/>
      </c>
      <c r="F61" s="525" t="str">
        <f t="shared" si="4"/>
        <v/>
      </c>
      <c r="G61" s="524"/>
      <c r="H61" s="524"/>
      <c r="I61" s="524"/>
      <c r="J61" s="523">
        <v>61</v>
      </c>
      <c r="K61" s="29" t="e">
        <f t="shared" si="5"/>
        <v>#N/A</v>
      </c>
      <c r="L61" s="7" t="str">
        <f t="shared" si="6"/>
        <v/>
      </c>
      <c r="CR61" s="7" t="str">
        <f t="shared" si="8"/>
        <v/>
      </c>
      <c r="CS61" s="7" t="str">
        <f t="shared" si="9"/>
        <v/>
      </c>
      <c r="CT61" s="458">
        <v>61</v>
      </c>
    </row>
    <row r="62" spans="1:98" x14ac:dyDescent="0.2">
      <c r="A62" s="7">
        <f t="shared" si="2"/>
        <v>0</v>
      </c>
      <c r="B62" s="7" t="e">
        <f t="shared" si="25"/>
        <v>#VALUE!</v>
      </c>
      <c r="C62" s="7" t="e">
        <f t="shared" si="3"/>
        <v>#VALUE!</v>
      </c>
      <c r="D62" s="7" t="str">
        <f t="shared" si="10"/>
        <v/>
      </c>
      <c r="E62" s="7" t="str">
        <f t="shared" si="26"/>
        <v/>
      </c>
      <c r="F62" s="525" t="str">
        <f t="shared" si="4"/>
        <v/>
      </c>
      <c r="G62" s="524"/>
      <c r="H62" s="524"/>
      <c r="I62" s="524"/>
      <c r="J62" s="523">
        <v>62</v>
      </c>
      <c r="K62" s="29" t="e">
        <f t="shared" si="5"/>
        <v>#N/A</v>
      </c>
      <c r="L62" s="7" t="str">
        <f t="shared" si="6"/>
        <v/>
      </c>
      <c r="O62" s="7" t="s">
        <v>222</v>
      </c>
      <c r="R62" s="28" t="str">
        <f>Fältkort!F35</f>
        <v>2x2</v>
      </c>
      <c r="CR62" s="7" t="str">
        <f t="shared" si="8"/>
        <v/>
      </c>
      <c r="CS62" s="7" t="str">
        <f t="shared" si="9"/>
        <v/>
      </c>
      <c r="CT62" s="458">
        <v>62</v>
      </c>
    </row>
    <row r="63" spans="1:98" x14ac:dyDescent="0.2">
      <c r="A63" s="7">
        <f t="shared" si="2"/>
        <v>0</v>
      </c>
      <c r="B63" s="7" t="e">
        <f t="shared" si="25"/>
        <v>#VALUE!</v>
      </c>
      <c r="C63" s="7" t="e">
        <f t="shared" si="3"/>
        <v>#VALUE!</v>
      </c>
      <c r="D63" s="7" t="str">
        <f t="shared" si="10"/>
        <v/>
      </c>
      <c r="E63" s="7" t="str">
        <f t="shared" si="26"/>
        <v/>
      </c>
      <c r="F63" s="525" t="str">
        <f t="shared" si="4"/>
        <v/>
      </c>
      <c r="G63" s="524"/>
      <c r="H63" s="524"/>
      <c r="I63" s="524"/>
      <c r="J63" s="523">
        <v>63</v>
      </c>
      <c r="K63" s="29" t="e">
        <f t="shared" si="5"/>
        <v>#N/A</v>
      </c>
      <c r="L63" s="7" t="str">
        <f t="shared" si="6"/>
        <v/>
      </c>
      <c r="P63" s="15" t="str">
        <f>IF($R$62=$O$26,P27,"")</f>
        <v/>
      </c>
      <c r="Q63" s="15" t="str">
        <f t="shared" ref="Q63:AI63" si="45">IF($R$62=$O$26,Q27,"")</f>
        <v/>
      </c>
      <c r="R63" s="15" t="str">
        <f t="shared" si="45"/>
        <v/>
      </c>
      <c r="S63" s="15" t="str">
        <f t="shared" si="45"/>
        <v/>
      </c>
      <c r="T63" s="15" t="str">
        <f t="shared" si="45"/>
        <v/>
      </c>
      <c r="U63" s="15" t="str">
        <f t="shared" si="45"/>
        <v/>
      </c>
      <c r="V63" s="15" t="str">
        <f t="shared" si="45"/>
        <v/>
      </c>
      <c r="W63" s="15" t="str">
        <f t="shared" si="45"/>
        <v/>
      </c>
      <c r="X63" s="15" t="str">
        <f t="shared" si="45"/>
        <v/>
      </c>
      <c r="Y63" s="15" t="str">
        <f t="shared" si="45"/>
        <v/>
      </c>
      <c r="Z63" s="15" t="str">
        <f t="shared" si="45"/>
        <v/>
      </c>
      <c r="AA63" s="15" t="str">
        <f t="shared" si="45"/>
        <v/>
      </c>
      <c r="AB63" s="15" t="str">
        <f t="shared" si="45"/>
        <v/>
      </c>
      <c r="AC63" s="15" t="str">
        <f t="shared" si="45"/>
        <v/>
      </c>
      <c r="AD63" s="15" t="str">
        <f t="shared" si="45"/>
        <v/>
      </c>
      <c r="AE63" s="15" t="str">
        <f t="shared" si="45"/>
        <v/>
      </c>
      <c r="AF63" s="15" t="str">
        <f t="shared" si="45"/>
        <v/>
      </c>
      <c r="AG63" s="15" t="str">
        <f t="shared" si="45"/>
        <v/>
      </c>
      <c r="AH63" s="15" t="str">
        <f t="shared" si="45"/>
        <v/>
      </c>
      <c r="AI63" s="15" t="str">
        <f t="shared" si="45"/>
        <v/>
      </c>
      <c r="AJ63" s="15"/>
      <c r="AK63" s="15"/>
      <c r="AL63" s="15"/>
      <c r="AM63" s="15"/>
      <c r="AN63" s="15"/>
      <c r="AO63" s="15"/>
      <c r="AP63" s="15"/>
      <c r="AQ63" s="15"/>
      <c r="AR63" s="15"/>
      <c r="AS63" s="15"/>
      <c r="AT63" s="15"/>
      <c r="AU63" s="15"/>
      <c r="AV63" s="15"/>
      <c r="AW63" s="15"/>
      <c r="CR63" s="7" t="str">
        <f t="shared" si="8"/>
        <v/>
      </c>
      <c r="CS63" s="7" t="str">
        <f t="shared" si="9"/>
        <v/>
      </c>
      <c r="CT63" s="458">
        <v>63</v>
      </c>
    </row>
    <row r="64" spans="1:98" x14ac:dyDescent="0.2">
      <c r="A64" s="7">
        <f t="shared" si="2"/>
        <v>0</v>
      </c>
      <c r="B64" s="7" t="e">
        <f t="shared" si="25"/>
        <v>#VALUE!</v>
      </c>
      <c r="C64" s="7" t="e">
        <f t="shared" si="3"/>
        <v>#VALUE!</v>
      </c>
      <c r="D64" s="7" t="str">
        <f t="shared" si="10"/>
        <v/>
      </c>
      <c r="E64" s="7" t="str">
        <f t="shared" si="26"/>
        <v/>
      </c>
      <c r="F64" s="525" t="str">
        <f t="shared" si="4"/>
        <v/>
      </c>
      <c r="G64" s="524"/>
      <c r="H64" s="524"/>
      <c r="I64" s="524"/>
      <c r="J64" s="523">
        <v>64</v>
      </c>
      <c r="K64" s="29" t="e">
        <f t="shared" si="5"/>
        <v>#N/A</v>
      </c>
      <c r="L64" s="7" t="str">
        <f t="shared" si="6"/>
        <v/>
      </c>
      <c r="P64" s="15">
        <f>IF($R$62=$O$26,P28,IF($R$62=$O$47,P49,""))</f>
        <v>1</v>
      </c>
      <c r="Q64" s="15">
        <f t="shared" ref="Q64:AI64" si="46">IF($R$62=$O$26,Q28,IF($R$62=$O$47,Q49,""))</f>
        <v>2</v>
      </c>
      <c r="R64" s="15">
        <f t="shared" si="46"/>
        <v>6</v>
      </c>
      <c r="S64" s="15">
        <f t="shared" si="46"/>
        <v>5</v>
      </c>
      <c r="T64" s="15">
        <f t="shared" si="46"/>
        <v>6</v>
      </c>
      <c r="U64" s="15">
        <f t="shared" si="46"/>
        <v>7</v>
      </c>
      <c r="V64" s="15">
        <f t="shared" si="46"/>
        <v>4</v>
      </c>
      <c r="W64" s="15">
        <f t="shared" si="46"/>
        <v>5</v>
      </c>
      <c r="X64" s="15">
        <f t="shared" si="46"/>
        <v>7</v>
      </c>
      <c r="Y64" s="15">
        <f t="shared" si="46"/>
        <v>1</v>
      </c>
      <c r="Z64" s="15">
        <f t="shared" si="46"/>
        <v>4</v>
      </c>
      <c r="AA64" s="15">
        <f t="shared" si="46"/>
        <v>2</v>
      </c>
      <c r="AB64" s="15">
        <f t="shared" si="46"/>
        <v>6</v>
      </c>
      <c r="AC64" s="15">
        <f t="shared" si="46"/>
        <v>3</v>
      </c>
      <c r="AD64" s="15">
        <f t="shared" si="46"/>
        <v>0</v>
      </c>
      <c r="AE64" s="15">
        <f t="shared" si="46"/>
        <v>0</v>
      </c>
      <c r="AF64" s="15">
        <f t="shared" si="46"/>
        <v>0</v>
      </c>
      <c r="AG64" s="15">
        <f t="shared" si="46"/>
        <v>0</v>
      </c>
      <c r="AH64" s="15">
        <f t="shared" si="46"/>
        <v>0</v>
      </c>
      <c r="AI64" s="15">
        <f t="shared" si="46"/>
        <v>0</v>
      </c>
      <c r="AJ64" s="15">
        <f t="shared" ref="AJ64:AT64" si="47">IF($R$62=$O$26,AJ28,IF($R$62=$O$47,AJ49,""))</f>
        <v>0</v>
      </c>
      <c r="AK64" s="15">
        <f t="shared" si="47"/>
        <v>0</v>
      </c>
      <c r="AL64" s="15">
        <f t="shared" si="47"/>
        <v>0</v>
      </c>
      <c r="AM64" s="15">
        <f t="shared" si="47"/>
        <v>0</v>
      </c>
      <c r="AN64" s="15">
        <f t="shared" si="47"/>
        <v>0</v>
      </c>
      <c r="AO64" s="15">
        <f t="shared" si="47"/>
        <v>0</v>
      </c>
      <c r="AP64" s="15">
        <f t="shared" si="47"/>
        <v>0</v>
      </c>
      <c r="AQ64" s="15">
        <f t="shared" si="47"/>
        <v>0</v>
      </c>
      <c r="AR64" s="15">
        <f t="shared" si="47"/>
        <v>0</v>
      </c>
      <c r="AS64" s="15">
        <f t="shared" si="47"/>
        <v>0</v>
      </c>
      <c r="AT64" s="15">
        <f t="shared" si="47"/>
        <v>0</v>
      </c>
      <c r="AU64" s="15">
        <f t="shared" ref="AU64:AW65" si="48">IF($R$62=$O$26,AU28,IF($R$62=$O$47,AU49,""))</f>
        <v>0</v>
      </c>
      <c r="AV64" s="15">
        <f t="shared" si="48"/>
        <v>0</v>
      </c>
      <c r="AW64" s="15">
        <f t="shared" si="48"/>
        <v>0</v>
      </c>
      <c r="CR64" s="7" t="str">
        <f t="shared" si="8"/>
        <v/>
      </c>
      <c r="CS64" s="7" t="str">
        <f t="shared" si="9"/>
        <v/>
      </c>
      <c r="CT64" s="458">
        <v>64</v>
      </c>
    </row>
    <row r="65" spans="1:98" x14ac:dyDescent="0.2">
      <c r="A65" s="7">
        <f t="shared" si="2"/>
        <v>0</v>
      </c>
      <c r="B65" s="7" t="e">
        <f t="shared" si="25"/>
        <v>#VALUE!</v>
      </c>
      <c r="C65" s="7" t="e">
        <f t="shared" si="3"/>
        <v>#VALUE!</v>
      </c>
      <c r="D65" s="7" t="str">
        <f t="shared" si="10"/>
        <v/>
      </c>
      <c r="E65" s="7" t="str">
        <f t="shared" si="26"/>
        <v/>
      </c>
      <c r="F65" s="525" t="str">
        <f t="shared" si="4"/>
        <v/>
      </c>
      <c r="G65" s="524"/>
      <c r="H65" s="524"/>
      <c r="I65" s="524"/>
      <c r="J65" s="523">
        <v>65</v>
      </c>
      <c r="K65" s="29" t="e">
        <f t="shared" si="5"/>
        <v>#N/A</v>
      </c>
      <c r="L65" s="7" t="str">
        <f t="shared" si="6"/>
        <v/>
      </c>
      <c r="P65" s="15">
        <f>IF($R$62=$O$26,P29,IF($R$62=$O$47,P50,""))</f>
        <v>7</v>
      </c>
      <c r="Q65" s="15">
        <f t="shared" ref="Q65:AI65" si="49">IF($R$62=$O$26,Q29,IF($R$62=$O$47,Q50,""))</f>
        <v>4</v>
      </c>
      <c r="R65" s="15">
        <f t="shared" si="49"/>
        <v>3</v>
      </c>
      <c r="S65" s="15">
        <f t="shared" si="49"/>
        <v>1</v>
      </c>
      <c r="T65" s="15">
        <f t="shared" si="49"/>
        <v>3</v>
      </c>
      <c r="U65" s="15">
        <f t="shared" si="49"/>
        <v>5</v>
      </c>
      <c r="V65" s="15">
        <f t="shared" si="49"/>
        <v>2</v>
      </c>
      <c r="W65" s="15">
        <f t="shared" si="49"/>
        <v>3</v>
      </c>
      <c r="X65" s="15">
        <f t="shared" si="49"/>
        <v>6</v>
      </c>
      <c r="Y65" s="15">
        <f t="shared" si="49"/>
        <v>2</v>
      </c>
      <c r="Z65" s="15">
        <f t="shared" si="49"/>
        <v>7</v>
      </c>
      <c r="AA65" s="15">
        <f t="shared" si="49"/>
        <v>4</v>
      </c>
      <c r="AB65" s="15">
        <f t="shared" si="49"/>
        <v>1</v>
      </c>
      <c r="AC65" s="15">
        <f t="shared" si="49"/>
        <v>5</v>
      </c>
      <c r="AD65" s="15">
        <f t="shared" si="49"/>
        <v>0</v>
      </c>
      <c r="AE65" s="15">
        <f t="shared" si="49"/>
        <v>0</v>
      </c>
      <c r="AF65" s="15">
        <f t="shared" si="49"/>
        <v>0</v>
      </c>
      <c r="AG65" s="15">
        <f t="shared" si="49"/>
        <v>0</v>
      </c>
      <c r="AH65" s="15">
        <f t="shared" si="49"/>
        <v>0</v>
      </c>
      <c r="AI65" s="15">
        <f t="shared" si="49"/>
        <v>0</v>
      </c>
      <c r="AJ65" s="15">
        <f t="shared" ref="AJ65:AT65" si="50">IF($R$62=$O$26,AJ29,IF($R$62=$O$47,AJ50,""))</f>
        <v>0</v>
      </c>
      <c r="AK65" s="15">
        <f t="shared" si="50"/>
        <v>0</v>
      </c>
      <c r="AL65" s="15">
        <f t="shared" si="50"/>
        <v>0</v>
      </c>
      <c r="AM65" s="15">
        <f t="shared" si="50"/>
        <v>0</v>
      </c>
      <c r="AN65" s="15">
        <f t="shared" si="50"/>
        <v>0</v>
      </c>
      <c r="AO65" s="15">
        <f t="shared" si="50"/>
        <v>0</v>
      </c>
      <c r="AP65" s="15">
        <f t="shared" si="50"/>
        <v>0</v>
      </c>
      <c r="AQ65" s="15">
        <f t="shared" si="50"/>
        <v>0</v>
      </c>
      <c r="AR65" s="15">
        <f t="shared" si="50"/>
        <v>0</v>
      </c>
      <c r="AS65" s="15">
        <f t="shared" si="50"/>
        <v>0</v>
      </c>
      <c r="AT65" s="15">
        <f t="shared" si="50"/>
        <v>0</v>
      </c>
      <c r="AU65" s="15">
        <f t="shared" si="48"/>
        <v>0</v>
      </c>
      <c r="AV65" s="15">
        <f t="shared" si="48"/>
        <v>0</v>
      </c>
      <c r="AW65" s="15">
        <f t="shared" si="48"/>
        <v>0</v>
      </c>
      <c r="CR65" s="7" t="str">
        <f t="shared" si="8"/>
        <v/>
      </c>
      <c r="CS65" s="7" t="str">
        <f t="shared" si="9"/>
        <v/>
      </c>
      <c r="CT65" s="458">
        <v>65</v>
      </c>
    </row>
    <row r="66" spans="1:98" x14ac:dyDescent="0.2">
      <c r="A66" s="7">
        <f t="shared" si="2"/>
        <v>0</v>
      </c>
      <c r="B66" s="7" t="e">
        <f t="shared" ref="B66:B81" si="51">IF(E66&gt;3,Q$1-(4*Q$1-D66),IF(E66&gt;2,Q$1-(3*Q$1-D66),IF(E66&gt;1,Q$1-(2*Q$1-D66),D66)))</f>
        <v>#VALUE!</v>
      </c>
      <c r="C66" s="7" t="e">
        <f t="shared" si="3"/>
        <v>#VALUE!</v>
      </c>
      <c r="D66" s="7" t="str">
        <f t="shared" si="10"/>
        <v/>
      </c>
      <c r="E66" s="7" t="str">
        <f t="shared" ref="E66:E81" si="52">IF(ISNUMBER(D66),ROUNDUP(D66/Q$1,0),"")</f>
        <v/>
      </c>
      <c r="F66" s="525" t="str">
        <f t="shared" si="4"/>
        <v/>
      </c>
      <c r="G66" s="524"/>
      <c r="H66" s="524"/>
      <c r="I66" s="524"/>
      <c r="J66" s="523">
        <v>66</v>
      </c>
      <c r="K66" s="29" t="e">
        <f t="shared" si="5"/>
        <v>#N/A</v>
      </c>
      <c r="L66" s="7" t="str">
        <f>IF(AND(E66=1,F66=1),1,IF(AND(E66=2,F66=1),2,IF(AND(E66=3,F66=1),3,IF(AND(E66=4,F66=1),4,""))))</f>
        <v/>
      </c>
      <c r="P66" s="15" t="str">
        <f>IF($R$62=$O$26,P30,IF($R$62=$O$47,"",P58))</f>
        <v/>
      </c>
      <c r="Q66" s="15" t="str">
        <f t="shared" ref="Q66:AW66" si="53">IF($R$62=$O$26,Q30,IF($R$62=$O$47,"",Q58))</f>
        <v/>
      </c>
      <c r="R66" s="15" t="str">
        <f t="shared" si="53"/>
        <v/>
      </c>
      <c r="S66" s="15" t="str">
        <f t="shared" si="53"/>
        <v/>
      </c>
      <c r="T66" s="15" t="str">
        <f t="shared" si="53"/>
        <v/>
      </c>
      <c r="U66" s="15" t="str">
        <f t="shared" si="53"/>
        <v/>
      </c>
      <c r="V66" s="15" t="str">
        <f t="shared" si="53"/>
        <v/>
      </c>
      <c r="W66" s="15" t="str">
        <f t="shared" si="53"/>
        <v/>
      </c>
      <c r="X66" s="15" t="str">
        <f t="shared" si="53"/>
        <v/>
      </c>
      <c r="Y66" s="15" t="str">
        <f t="shared" si="53"/>
        <v/>
      </c>
      <c r="Z66" s="15" t="str">
        <f t="shared" si="53"/>
        <v/>
      </c>
      <c r="AA66" s="15" t="str">
        <f t="shared" si="53"/>
        <v/>
      </c>
      <c r="AB66" s="15" t="str">
        <f t="shared" si="53"/>
        <v/>
      </c>
      <c r="AC66" s="15" t="str">
        <f t="shared" si="53"/>
        <v/>
      </c>
      <c r="AD66" s="15" t="str">
        <f t="shared" si="53"/>
        <v/>
      </c>
      <c r="AE66" s="15" t="str">
        <f t="shared" si="53"/>
        <v/>
      </c>
      <c r="AF66" s="15" t="str">
        <f t="shared" si="53"/>
        <v/>
      </c>
      <c r="AG66" s="15" t="str">
        <f t="shared" si="53"/>
        <v/>
      </c>
      <c r="AH66" s="15" t="str">
        <f t="shared" si="53"/>
        <v/>
      </c>
      <c r="AI66" s="15" t="str">
        <f t="shared" si="53"/>
        <v/>
      </c>
      <c r="AJ66" s="15" t="str">
        <f t="shared" si="53"/>
        <v/>
      </c>
      <c r="AK66" s="15" t="str">
        <f t="shared" si="53"/>
        <v/>
      </c>
      <c r="AL66" s="15" t="str">
        <f t="shared" si="53"/>
        <v/>
      </c>
      <c r="AM66" s="15" t="str">
        <f t="shared" si="53"/>
        <v/>
      </c>
      <c r="AN66" s="15" t="str">
        <f t="shared" si="53"/>
        <v/>
      </c>
      <c r="AO66" s="15" t="str">
        <f t="shared" si="53"/>
        <v/>
      </c>
      <c r="AP66" s="15" t="str">
        <f t="shared" si="53"/>
        <v/>
      </c>
      <c r="AQ66" s="15" t="str">
        <f t="shared" si="53"/>
        <v/>
      </c>
      <c r="AR66" s="15" t="str">
        <f t="shared" si="53"/>
        <v/>
      </c>
      <c r="AS66" s="15" t="str">
        <f t="shared" si="53"/>
        <v/>
      </c>
      <c r="AT66" s="15" t="str">
        <f t="shared" si="53"/>
        <v/>
      </c>
      <c r="AU66" s="15" t="str">
        <f t="shared" si="53"/>
        <v/>
      </c>
      <c r="AV66" s="15" t="str">
        <f t="shared" si="53"/>
        <v/>
      </c>
      <c r="AW66" s="15" t="str">
        <f t="shared" si="53"/>
        <v/>
      </c>
      <c r="CR66" s="7" t="str">
        <f t="shared" si="8"/>
        <v/>
      </c>
      <c r="CS66" s="7" t="str">
        <f t="shared" si="9"/>
        <v/>
      </c>
      <c r="CT66" s="458">
        <v>66</v>
      </c>
    </row>
    <row r="67" spans="1:98" x14ac:dyDescent="0.2">
      <c r="A67" s="7">
        <f t="shared" ref="A67:A81" si="54">IF(OR(L67=1,L67=2,L67=3,L67=4),CONCATENATE("Ob",L67),0)</f>
        <v>0</v>
      </c>
      <c r="B67" s="7" t="e">
        <f t="shared" si="51"/>
        <v>#VALUE!</v>
      </c>
      <c r="C67" s="7" t="e">
        <f t="shared" ref="C67:C81" si="55">E67*100+B67</f>
        <v>#VALUE!</v>
      </c>
      <c r="D67" s="7" t="str">
        <f t="shared" si="10"/>
        <v/>
      </c>
      <c r="E67" s="7" t="str">
        <f t="shared" si="52"/>
        <v/>
      </c>
      <c r="F67" s="525" t="str">
        <f t="shared" ref="F67:F81" si="56">IF(ISNUMBER(HLOOKUP(M$1,G$1:I$81,J67,0)),HLOOKUP(M$1,G$1:I$81,J67,0),"")</f>
        <v/>
      </c>
      <c r="G67" s="524"/>
      <c r="H67" s="524"/>
      <c r="I67" s="524"/>
      <c r="J67" s="523">
        <v>67</v>
      </c>
      <c r="K67" s="29" t="e">
        <f t="shared" ref="K67:K69" si="57">VLOOKUP(F67,AG$3:AH$19,2)</f>
        <v>#N/A</v>
      </c>
      <c r="L67" s="7" t="str">
        <f>IF(AND(E67=1,F67=1),1,IF(AND(E67=2,F67=1),2,IF(AND(E67=3,F67=1),3,IF(AND(E67=4,F67=1),4,""))))</f>
        <v/>
      </c>
      <c r="CR67" s="7" t="str">
        <f t="shared" ref="CR67:CR81" si="58">IF(F67&lt;10,0,"")</f>
        <v/>
      </c>
      <c r="CS67" s="7" t="str">
        <f t="shared" ref="CS67:CS81" si="59">IF(ISNUMBER(D67),CONCATENATE(E67,"-",CR67,F67),"")</f>
        <v/>
      </c>
      <c r="CT67" s="458">
        <v>67</v>
      </c>
    </row>
    <row r="68" spans="1:98" x14ac:dyDescent="0.2">
      <c r="A68" s="7">
        <f t="shared" si="54"/>
        <v>0</v>
      </c>
      <c r="B68" s="7" t="e">
        <f t="shared" si="51"/>
        <v>#VALUE!</v>
      </c>
      <c r="C68" s="7" t="e">
        <f t="shared" si="55"/>
        <v>#VALUE!</v>
      </c>
      <c r="D68" s="7" t="str">
        <f t="shared" ref="D68:D81" si="60">IF(ISNUMBER(F68),1+D67,"")</f>
        <v/>
      </c>
      <c r="E68" s="7" t="str">
        <f t="shared" si="52"/>
        <v/>
      </c>
      <c r="F68" s="525" t="str">
        <f t="shared" si="56"/>
        <v/>
      </c>
      <c r="G68" s="524"/>
      <c r="H68" s="524"/>
      <c r="I68" s="524"/>
      <c r="J68" s="523">
        <v>68</v>
      </c>
      <c r="K68" s="29" t="e">
        <f t="shared" si="57"/>
        <v>#N/A</v>
      </c>
      <c r="L68" s="7" t="str">
        <f>IF(AND(E68=1,F68=1),1,IF(AND(E68=2,F68=1),2,IF(AND(E68=3,F68=1),3,IF(AND(E68=4,F68=1),4,""))))</f>
        <v/>
      </c>
      <c r="O68" s="7" t="s">
        <v>222</v>
      </c>
      <c r="R68" s="30" t="str">
        <f>R62</f>
        <v>2x2</v>
      </c>
      <c r="CR68" s="7" t="str">
        <f t="shared" si="58"/>
        <v/>
      </c>
      <c r="CS68" s="7" t="str">
        <f t="shared" si="59"/>
        <v/>
      </c>
      <c r="CT68" s="458">
        <v>68</v>
      </c>
    </row>
    <row r="69" spans="1:98" x14ac:dyDescent="0.2">
      <c r="A69" s="7">
        <f t="shared" si="54"/>
        <v>0</v>
      </c>
      <c r="B69" s="7" t="e">
        <f t="shared" si="51"/>
        <v>#VALUE!</v>
      </c>
      <c r="C69" s="7" t="e">
        <f t="shared" si="55"/>
        <v>#VALUE!</v>
      </c>
      <c r="D69" s="7" t="str">
        <f t="shared" si="60"/>
        <v/>
      </c>
      <c r="E69" s="7" t="str">
        <f t="shared" si="52"/>
        <v/>
      </c>
      <c r="F69" s="525" t="str">
        <f t="shared" si="56"/>
        <v/>
      </c>
      <c r="G69" s="524"/>
      <c r="H69" s="524"/>
      <c r="I69" s="524"/>
      <c r="J69" s="523">
        <v>69</v>
      </c>
      <c r="K69" s="29" t="e">
        <f t="shared" si="57"/>
        <v>#N/A</v>
      </c>
      <c r="L69" s="7" t="str">
        <f>IF(AND(E69=1,F69=1),1,IF(AND(E69=2,F69=1),2,IF(AND(E69=3,F69=1),3,IF(AND(E69=4,F69=1),4,""))))</f>
        <v/>
      </c>
      <c r="P69" s="29" t="str">
        <f>IF(P63&lt;9,(IF(P63&lt;5,(IF(P63=1,"A",IF(P63=2,"B",IF(P63=3,"C",IF(P63=4,"D",""))))),(IF(P63=5,"E",IF(P63=6,"F",IF(P63=7,"G","H")))))),(IF(P63&gt;13,(IF(P63=14,"N",IF(P63=15,"O",IF(P63=16,"P",IF(P63=17,"Q",""))))),(IF(P63=9,"I",IF(P63=10,"J",IF(P63=11,"K",IF(P63=12,"L","M"))))))))</f>
        <v/>
      </c>
      <c r="Q69" s="29" t="str">
        <f t="shared" ref="Q69:AW69" si="61">IF(Q63&lt;9,(IF(Q63&lt;5,(IF(Q63=1,"A",IF(Q63=2,"B",IF(Q63=3,"C",IF(Q63=4,"D",""))))),(IF(Q63=5,"E",IF(Q63=6,"F",IF(Q63=7,"G","H")))))),(IF(Q63&gt;13,(IF(Q63=14,"N",IF(Q63=15,"O",IF(Q63=16,"P",IF(Q63=17,"Q",""))))),(IF(Q63=9,"I",IF(Q63=10,"J",IF(Q63=11,"K",IF(Q63=12,"L","M"))))))))</f>
        <v/>
      </c>
      <c r="R69" s="29" t="str">
        <f t="shared" si="61"/>
        <v/>
      </c>
      <c r="S69" s="29" t="str">
        <f t="shared" si="61"/>
        <v/>
      </c>
      <c r="T69" s="29" t="str">
        <f t="shared" si="61"/>
        <v/>
      </c>
      <c r="U69" s="29" t="str">
        <f t="shared" si="61"/>
        <v/>
      </c>
      <c r="V69" s="29" t="str">
        <f t="shared" si="61"/>
        <v/>
      </c>
      <c r="W69" s="29" t="str">
        <f t="shared" si="61"/>
        <v/>
      </c>
      <c r="X69" s="29" t="str">
        <f t="shared" si="61"/>
        <v/>
      </c>
      <c r="Y69" s="29" t="str">
        <f t="shared" si="61"/>
        <v/>
      </c>
      <c r="Z69" s="29" t="str">
        <f t="shared" si="61"/>
        <v/>
      </c>
      <c r="AA69" s="29" t="str">
        <f t="shared" si="61"/>
        <v/>
      </c>
      <c r="AB69" s="29" t="str">
        <f t="shared" si="61"/>
        <v/>
      </c>
      <c r="AC69" s="29" t="str">
        <f t="shared" si="61"/>
        <v/>
      </c>
      <c r="AD69" s="29" t="str">
        <f t="shared" si="61"/>
        <v/>
      </c>
      <c r="AE69" s="29" t="str">
        <f t="shared" si="61"/>
        <v/>
      </c>
      <c r="AF69" s="29" t="str">
        <f t="shared" si="61"/>
        <v/>
      </c>
      <c r="AG69" s="29" t="str">
        <f t="shared" si="61"/>
        <v/>
      </c>
      <c r="AH69" s="29" t="str">
        <f t="shared" si="61"/>
        <v/>
      </c>
      <c r="AI69" s="29" t="str">
        <f t="shared" si="61"/>
        <v/>
      </c>
      <c r="AJ69" s="29" t="str">
        <f t="shared" si="61"/>
        <v/>
      </c>
      <c r="AK69" s="29" t="str">
        <f t="shared" si="61"/>
        <v/>
      </c>
      <c r="AL69" s="29" t="str">
        <f t="shared" si="61"/>
        <v/>
      </c>
      <c r="AM69" s="29" t="str">
        <f t="shared" si="61"/>
        <v/>
      </c>
      <c r="AN69" s="29" t="str">
        <f t="shared" si="61"/>
        <v/>
      </c>
      <c r="AO69" s="29" t="str">
        <f t="shared" si="61"/>
        <v/>
      </c>
      <c r="AP69" s="29" t="str">
        <f t="shared" si="61"/>
        <v/>
      </c>
      <c r="AQ69" s="29" t="str">
        <f t="shared" si="61"/>
        <v/>
      </c>
      <c r="AR69" s="29" t="str">
        <f t="shared" si="61"/>
        <v/>
      </c>
      <c r="AS69" s="29" t="str">
        <f t="shared" si="61"/>
        <v/>
      </c>
      <c r="AT69" s="29" t="str">
        <f t="shared" si="61"/>
        <v/>
      </c>
      <c r="AU69" s="29" t="str">
        <f t="shared" si="61"/>
        <v/>
      </c>
      <c r="AV69" s="29" t="str">
        <f t="shared" si="61"/>
        <v/>
      </c>
      <c r="AW69" s="29" t="str">
        <f t="shared" si="61"/>
        <v/>
      </c>
      <c r="CR69" s="7" t="str">
        <f t="shared" si="58"/>
        <v/>
      </c>
      <c r="CS69" s="7" t="str">
        <f t="shared" si="59"/>
        <v/>
      </c>
      <c r="CT69" s="458">
        <v>69</v>
      </c>
    </row>
    <row r="70" spans="1:98" x14ac:dyDescent="0.2">
      <c r="A70" s="7">
        <f t="shared" si="54"/>
        <v>0</v>
      </c>
      <c r="B70" s="7" t="e">
        <f t="shared" si="51"/>
        <v>#VALUE!</v>
      </c>
      <c r="C70" s="7" t="e">
        <f t="shared" si="55"/>
        <v>#VALUE!</v>
      </c>
      <c r="D70" s="7" t="str">
        <f t="shared" si="60"/>
        <v/>
      </c>
      <c r="E70" s="7" t="str">
        <f t="shared" si="52"/>
        <v/>
      </c>
      <c r="F70" s="525" t="str">
        <f t="shared" si="56"/>
        <v/>
      </c>
      <c r="G70" s="524"/>
      <c r="H70" s="524"/>
      <c r="I70" s="524"/>
      <c r="J70" s="523">
        <v>70</v>
      </c>
      <c r="K70" s="29" t="str">
        <f>IF(F70&lt;9,(IF(F70&lt;5,(IF(F70=1,"A",IF(F70=2,"B",IF(F70=3,"C",IF(F70=4,"D",""))))),(IF(F70=5,"E",IF(F70=6,"F",IF(F70=7,"G","H")))))),(IF(F70&gt;13,(IF(F70=14,"N",IF(F70=15,"O",IF(F70=16,"P",IF(F70=17,"Q",""))))),(IF(F70=9,"I",IF(F70=10,"J",IF(F70=11,"K",IF(F70=12,"L","M"))))))))</f>
        <v/>
      </c>
      <c r="P70" s="29" t="str">
        <f>IF(P64&lt;9,(IF(P64&lt;5,(IF(P64=1,"A",IF(P64=2,"B",IF(P64=3,"C",IF(P64=4,"D",""))))),(IF(P64=5,"E",IF(P64=6,"F",IF(P64=7,"G","H")))))),(IF(P64&gt;13,(IF(P64=14,"N",IF(P64=15,"O",IF(P64=16,"P",IF(P64=17,"Q",""))))),(IF(P64=9,"I",IF(P64=10,"J",IF(P64=11,"K",IF(P64=12,"L","M"))))))))</f>
        <v>A</v>
      </c>
      <c r="Q70" s="29" t="str">
        <f t="shared" ref="Q70:AW72" si="62">IF(Q64&lt;9,(IF(Q64&lt;5,(IF(Q64=1,"A",IF(Q64=2,"B",IF(Q64=3,"C",IF(Q64=4,"D",""))))),(IF(Q64=5,"E",IF(Q64=6,"F",IF(Q64=7,"G","H")))))),(IF(Q64&gt;13,(IF(Q64=14,"N",IF(Q64=15,"O",IF(Q64=16,"P",IF(Q64=17,"Q",""))))),(IF(Q64=9,"I",IF(Q64=10,"J",IF(Q64=11,"K",IF(Q64=12,"L","M"))))))))</f>
        <v>B</v>
      </c>
      <c r="R70" s="29" t="str">
        <f t="shared" si="62"/>
        <v>F</v>
      </c>
      <c r="S70" s="29" t="str">
        <f t="shared" si="62"/>
        <v>E</v>
      </c>
      <c r="T70" s="29" t="str">
        <f t="shared" si="62"/>
        <v>F</v>
      </c>
      <c r="U70" s="29" t="str">
        <f t="shared" si="62"/>
        <v>G</v>
      </c>
      <c r="V70" s="29" t="str">
        <f t="shared" si="62"/>
        <v>D</v>
      </c>
      <c r="W70" s="29" t="str">
        <f t="shared" si="62"/>
        <v>E</v>
      </c>
      <c r="X70" s="29" t="str">
        <f t="shared" si="62"/>
        <v>G</v>
      </c>
      <c r="Y70" s="29" t="str">
        <f t="shared" si="62"/>
        <v>A</v>
      </c>
      <c r="Z70" s="29" t="str">
        <f t="shared" si="62"/>
        <v>D</v>
      </c>
      <c r="AA70" s="29" t="str">
        <f t="shared" si="62"/>
        <v>B</v>
      </c>
      <c r="AB70" s="29" t="str">
        <f t="shared" si="62"/>
        <v>F</v>
      </c>
      <c r="AC70" s="29" t="str">
        <f t="shared" si="62"/>
        <v>C</v>
      </c>
      <c r="AD70" s="29" t="str">
        <f t="shared" si="62"/>
        <v/>
      </c>
      <c r="AE70" s="29" t="str">
        <f t="shared" si="62"/>
        <v/>
      </c>
      <c r="AF70" s="29" t="str">
        <f t="shared" si="62"/>
        <v/>
      </c>
      <c r="AG70" s="29" t="str">
        <f t="shared" si="62"/>
        <v/>
      </c>
      <c r="AH70" s="29" t="str">
        <f t="shared" si="62"/>
        <v/>
      </c>
      <c r="AI70" s="29" t="str">
        <f t="shared" si="62"/>
        <v/>
      </c>
      <c r="AJ70" s="29" t="str">
        <f t="shared" si="62"/>
        <v/>
      </c>
      <c r="AK70" s="29" t="str">
        <f t="shared" si="62"/>
        <v/>
      </c>
      <c r="AL70" s="29" t="str">
        <f t="shared" si="62"/>
        <v/>
      </c>
      <c r="AM70" s="29" t="str">
        <f t="shared" si="62"/>
        <v/>
      </c>
      <c r="AN70" s="29" t="str">
        <f t="shared" si="62"/>
        <v/>
      </c>
      <c r="AO70" s="29" t="str">
        <f t="shared" si="62"/>
        <v/>
      </c>
      <c r="AP70" s="29" t="str">
        <f t="shared" si="62"/>
        <v/>
      </c>
      <c r="AQ70" s="29" t="str">
        <f t="shared" si="62"/>
        <v/>
      </c>
      <c r="AR70" s="29" t="str">
        <f t="shared" si="62"/>
        <v/>
      </c>
      <c r="AS70" s="29" t="str">
        <f t="shared" si="62"/>
        <v/>
      </c>
      <c r="AT70" s="29" t="str">
        <f t="shared" si="62"/>
        <v/>
      </c>
      <c r="AU70" s="29" t="str">
        <f t="shared" si="62"/>
        <v/>
      </c>
      <c r="AV70" s="29" t="str">
        <f t="shared" si="62"/>
        <v/>
      </c>
      <c r="AW70" s="29" t="str">
        <f t="shared" si="62"/>
        <v/>
      </c>
      <c r="CR70" s="7" t="str">
        <f t="shared" si="58"/>
        <v/>
      </c>
      <c r="CS70" s="7" t="str">
        <f t="shared" si="59"/>
        <v/>
      </c>
    </row>
    <row r="71" spans="1:98" x14ac:dyDescent="0.2">
      <c r="A71" s="7">
        <f t="shared" si="54"/>
        <v>0</v>
      </c>
      <c r="B71" s="7" t="e">
        <f t="shared" si="51"/>
        <v>#VALUE!</v>
      </c>
      <c r="C71" s="7" t="e">
        <f t="shared" si="55"/>
        <v>#VALUE!</v>
      </c>
      <c r="D71" s="7" t="str">
        <f t="shared" si="60"/>
        <v/>
      </c>
      <c r="E71" s="7" t="str">
        <f t="shared" si="52"/>
        <v/>
      </c>
      <c r="F71" s="525" t="str">
        <f t="shared" si="56"/>
        <v/>
      </c>
      <c r="G71" s="524"/>
      <c r="H71" s="524"/>
      <c r="I71" s="524"/>
      <c r="J71" s="523">
        <v>71</v>
      </c>
      <c r="P71" s="29" t="str">
        <f t="shared" ref="P71:AE72" si="63">IF(P65&lt;9,(IF(P65&lt;5,(IF(P65=1,"A",IF(P65=2,"B",IF(P65=3,"C",IF(P65=4,"D",""))))),(IF(P65=5,"E",IF(P65=6,"F",IF(P65=7,"G","H")))))),(IF(P65&gt;13,(IF(P65=14,"N",IF(P65=15,"O",IF(P65=16,"P",IF(P65=17,"Q",""))))),(IF(P65=9,"I",IF(P65=10,"J",IF(P65=11,"K",IF(P65=12,"L","M"))))))))</f>
        <v>G</v>
      </c>
      <c r="Q71" s="29" t="str">
        <f t="shared" si="63"/>
        <v>D</v>
      </c>
      <c r="R71" s="29" t="str">
        <f t="shared" si="63"/>
        <v>C</v>
      </c>
      <c r="S71" s="29" t="str">
        <f t="shared" si="63"/>
        <v>A</v>
      </c>
      <c r="T71" s="29" t="str">
        <f t="shared" si="63"/>
        <v>C</v>
      </c>
      <c r="U71" s="29" t="str">
        <f t="shared" si="63"/>
        <v>E</v>
      </c>
      <c r="V71" s="29" t="str">
        <f t="shared" si="63"/>
        <v>B</v>
      </c>
      <c r="W71" s="29" t="str">
        <f t="shared" si="63"/>
        <v>C</v>
      </c>
      <c r="X71" s="29" t="str">
        <f t="shared" si="63"/>
        <v>F</v>
      </c>
      <c r="Y71" s="29" t="str">
        <f t="shared" si="63"/>
        <v>B</v>
      </c>
      <c r="Z71" s="29" t="str">
        <f t="shared" si="63"/>
        <v>G</v>
      </c>
      <c r="AA71" s="29" t="str">
        <f t="shared" si="63"/>
        <v>D</v>
      </c>
      <c r="AB71" s="29" t="str">
        <f t="shared" si="63"/>
        <v>A</v>
      </c>
      <c r="AC71" s="29" t="str">
        <f t="shared" si="63"/>
        <v>E</v>
      </c>
      <c r="AD71" s="29" t="str">
        <f t="shared" si="63"/>
        <v/>
      </c>
      <c r="AE71" s="29" t="str">
        <f t="shared" si="63"/>
        <v/>
      </c>
      <c r="AF71" s="29" t="str">
        <f t="shared" si="62"/>
        <v/>
      </c>
      <c r="AG71" s="29" t="str">
        <f t="shared" si="62"/>
        <v/>
      </c>
      <c r="AH71" s="29" t="str">
        <f t="shared" si="62"/>
        <v/>
      </c>
      <c r="AI71" s="29" t="str">
        <f t="shared" si="62"/>
        <v/>
      </c>
      <c r="AJ71" s="29" t="str">
        <f t="shared" si="62"/>
        <v/>
      </c>
      <c r="AK71" s="29" t="str">
        <f t="shared" si="62"/>
        <v/>
      </c>
      <c r="AL71" s="29" t="str">
        <f t="shared" si="62"/>
        <v/>
      </c>
      <c r="AM71" s="29" t="str">
        <f t="shared" si="62"/>
        <v/>
      </c>
      <c r="AN71" s="29" t="str">
        <f t="shared" si="62"/>
        <v/>
      </c>
      <c r="AO71" s="29" t="str">
        <f t="shared" si="62"/>
        <v/>
      </c>
      <c r="AP71" s="29" t="str">
        <f t="shared" si="62"/>
        <v/>
      </c>
      <c r="AQ71" s="29" t="str">
        <f t="shared" si="62"/>
        <v/>
      </c>
      <c r="AR71" s="29" t="str">
        <f t="shared" si="62"/>
        <v/>
      </c>
      <c r="AS71" s="29" t="str">
        <f t="shared" si="62"/>
        <v/>
      </c>
      <c r="AT71" s="29" t="str">
        <f t="shared" si="62"/>
        <v/>
      </c>
      <c r="AU71" s="29" t="str">
        <f t="shared" si="62"/>
        <v/>
      </c>
      <c r="AV71" s="29" t="str">
        <f t="shared" si="62"/>
        <v/>
      </c>
      <c r="AW71" s="29" t="str">
        <f t="shared" si="62"/>
        <v/>
      </c>
      <c r="CR71" s="7" t="str">
        <f t="shared" si="58"/>
        <v/>
      </c>
      <c r="CS71" s="7" t="str">
        <f t="shared" si="59"/>
        <v/>
      </c>
    </row>
    <row r="72" spans="1:98" x14ac:dyDescent="0.2">
      <c r="A72" s="7">
        <f t="shared" si="54"/>
        <v>0</v>
      </c>
      <c r="B72" s="7" t="e">
        <f t="shared" si="51"/>
        <v>#VALUE!</v>
      </c>
      <c r="C72" s="7" t="e">
        <f t="shared" si="55"/>
        <v>#VALUE!</v>
      </c>
      <c r="D72" s="7" t="str">
        <f t="shared" si="60"/>
        <v/>
      </c>
      <c r="E72" s="7" t="str">
        <f t="shared" si="52"/>
        <v/>
      </c>
      <c r="F72" s="525" t="str">
        <f t="shared" si="56"/>
        <v/>
      </c>
      <c r="G72" s="524"/>
      <c r="H72" s="524"/>
      <c r="I72" s="524"/>
      <c r="J72" s="523">
        <v>72</v>
      </c>
      <c r="P72" s="29" t="str">
        <f t="shared" si="63"/>
        <v/>
      </c>
      <c r="Q72" s="29" t="str">
        <f t="shared" si="62"/>
        <v/>
      </c>
      <c r="R72" s="29" t="str">
        <f t="shared" si="62"/>
        <v/>
      </c>
      <c r="S72" s="29" t="str">
        <f t="shared" si="62"/>
        <v/>
      </c>
      <c r="T72" s="29" t="str">
        <f t="shared" si="62"/>
        <v/>
      </c>
      <c r="U72" s="29" t="str">
        <f t="shared" si="62"/>
        <v/>
      </c>
      <c r="V72" s="29" t="str">
        <f t="shared" si="62"/>
        <v/>
      </c>
      <c r="W72" s="29" t="str">
        <f t="shared" si="62"/>
        <v/>
      </c>
      <c r="X72" s="29" t="str">
        <f t="shared" si="62"/>
        <v/>
      </c>
      <c r="Y72" s="29" t="str">
        <f t="shared" si="62"/>
        <v/>
      </c>
      <c r="Z72" s="29" t="str">
        <f t="shared" si="62"/>
        <v/>
      </c>
      <c r="AA72" s="29" t="str">
        <f t="shared" si="62"/>
        <v/>
      </c>
      <c r="AB72" s="29" t="str">
        <f t="shared" si="62"/>
        <v/>
      </c>
      <c r="AC72" s="29" t="str">
        <f t="shared" si="62"/>
        <v/>
      </c>
      <c r="AD72" s="29" t="str">
        <f t="shared" si="62"/>
        <v/>
      </c>
      <c r="AE72" s="29" t="str">
        <f t="shared" si="62"/>
        <v/>
      </c>
      <c r="AF72" s="29" t="str">
        <f t="shared" si="62"/>
        <v/>
      </c>
      <c r="AG72" s="29" t="str">
        <f t="shared" si="62"/>
        <v/>
      </c>
      <c r="AH72" s="29" t="str">
        <f t="shared" si="62"/>
        <v/>
      </c>
      <c r="AI72" s="29" t="str">
        <f t="shared" si="62"/>
        <v/>
      </c>
      <c r="AJ72" s="29" t="str">
        <f t="shared" si="62"/>
        <v/>
      </c>
      <c r="AK72" s="29" t="str">
        <f t="shared" si="62"/>
        <v/>
      </c>
      <c r="AL72" s="29" t="str">
        <f t="shared" si="62"/>
        <v/>
      </c>
      <c r="AM72" s="29" t="str">
        <f t="shared" si="62"/>
        <v/>
      </c>
      <c r="AN72" s="29" t="str">
        <f t="shared" si="62"/>
        <v/>
      </c>
      <c r="AO72" s="29" t="str">
        <f t="shared" si="62"/>
        <v/>
      </c>
      <c r="AP72" s="29" t="str">
        <f t="shared" si="62"/>
        <v/>
      </c>
      <c r="AQ72" s="29" t="str">
        <f t="shared" si="62"/>
        <v/>
      </c>
      <c r="AR72" s="29" t="str">
        <f t="shared" si="62"/>
        <v/>
      </c>
      <c r="AS72" s="29" t="str">
        <f t="shared" si="62"/>
        <v/>
      </c>
      <c r="AT72" s="29" t="str">
        <f t="shared" si="62"/>
        <v/>
      </c>
      <c r="AU72" s="29" t="str">
        <f t="shared" si="62"/>
        <v/>
      </c>
      <c r="AV72" s="29" t="str">
        <f t="shared" si="62"/>
        <v/>
      </c>
      <c r="AW72" s="29" t="str">
        <f t="shared" si="62"/>
        <v/>
      </c>
      <c r="CR72" s="7" t="str">
        <f t="shared" si="58"/>
        <v/>
      </c>
      <c r="CS72" s="7" t="str">
        <f t="shared" si="59"/>
        <v/>
      </c>
    </row>
    <row r="73" spans="1:98" x14ac:dyDescent="0.2">
      <c r="A73" s="7">
        <f t="shared" si="54"/>
        <v>0</v>
      </c>
      <c r="B73" s="7" t="e">
        <f t="shared" si="51"/>
        <v>#VALUE!</v>
      </c>
      <c r="C73" s="7" t="e">
        <f t="shared" si="55"/>
        <v>#VALUE!</v>
      </c>
      <c r="D73" s="7" t="str">
        <f t="shared" si="60"/>
        <v/>
      </c>
      <c r="E73" s="7" t="str">
        <f t="shared" si="52"/>
        <v/>
      </c>
      <c r="F73" s="525" t="str">
        <f t="shared" si="56"/>
        <v/>
      </c>
      <c r="G73" s="524"/>
      <c r="H73" s="524"/>
      <c r="I73" s="524"/>
      <c r="J73" s="523">
        <v>73</v>
      </c>
      <c r="CR73" s="7" t="str">
        <f t="shared" si="58"/>
        <v/>
      </c>
      <c r="CS73" s="7" t="str">
        <f t="shared" si="59"/>
        <v/>
      </c>
    </row>
    <row r="74" spans="1:98" x14ac:dyDescent="0.2">
      <c r="A74" s="7">
        <f t="shared" si="54"/>
        <v>0</v>
      </c>
      <c r="B74" s="7" t="e">
        <f t="shared" si="51"/>
        <v>#VALUE!</v>
      </c>
      <c r="C74" s="7" t="e">
        <f t="shared" si="55"/>
        <v>#VALUE!</v>
      </c>
      <c r="D74" s="7" t="str">
        <f t="shared" si="60"/>
        <v/>
      </c>
      <c r="E74" s="7" t="str">
        <f t="shared" si="52"/>
        <v/>
      </c>
      <c r="F74" s="525" t="str">
        <f t="shared" si="56"/>
        <v/>
      </c>
      <c r="G74" s="524"/>
      <c r="H74" s="524"/>
      <c r="I74" s="524"/>
      <c r="J74" s="523">
        <v>74</v>
      </c>
      <c r="O74" s="7" t="s">
        <v>222</v>
      </c>
      <c r="R74" s="30" t="str">
        <f>R68</f>
        <v>2x2</v>
      </c>
      <c r="CR74" s="7" t="str">
        <f t="shared" si="58"/>
        <v/>
      </c>
      <c r="CS74" s="7" t="str">
        <f t="shared" si="59"/>
        <v/>
      </c>
    </row>
    <row r="75" spans="1:98" x14ac:dyDescent="0.2">
      <c r="A75" s="7">
        <f t="shared" si="54"/>
        <v>0</v>
      </c>
      <c r="B75" s="7" t="e">
        <f t="shared" si="51"/>
        <v>#VALUE!</v>
      </c>
      <c r="C75" s="7" t="e">
        <f t="shared" si="55"/>
        <v>#VALUE!</v>
      </c>
      <c r="D75" s="7" t="str">
        <f t="shared" si="60"/>
        <v/>
      </c>
      <c r="E75" s="7" t="str">
        <f t="shared" si="52"/>
        <v/>
      </c>
      <c r="F75" s="525" t="str">
        <f t="shared" si="56"/>
        <v/>
      </c>
      <c r="G75" s="524"/>
      <c r="H75" s="524"/>
      <c r="I75" s="524"/>
      <c r="J75" s="523">
        <v>75</v>
      </c>
      <c r="O75" s="7" t="s">
        <v>397</v>
      </c>
      <c r="P75" s="80" t="str">
        <f>IF(OR($R$74="2x2",$R$74="4x1"),"",IF(AND($R$74="1x4",ISNUMBER(P63)),P63,"X"))</f>
        <v/>
      </c>
      <c r="Q75" s="80" t="str">
        <f t="shared" ref="Q75:AU75" si="64">IF(OR($R$74="2x2",$R$74="4x1"),"",IF(AND($R$74="1x4",ISNUMBER(Q63)),Q63,"X"))</f>
        <v/>
      </c>
      <c r="R75" s="80" t="str">
        <f t="shared" si="64"/>
        <v/>
      </c>
      <c r="S75" s="80" t="str">
        <f t="shared" si="64"/>
        <v/>
      </c>
      <c r="T75" s="80" t="str">
        <f t="shared" si="64"/>
        <v/>
      </c>
      <c r="U75" s="80" t="str">
        <f t="shared" si="64"/>
        <v/>
      </c>
      <c r="V75" s="80" t="str">
        <f t="shared" si="64"/>
        <v/>
      </c>
      <c r="W75" s="80" t="str">
        <f t="shared" si="64"/>
        <v/>
      </c>
      <c r="X75" s="80" t="str">
        <f t="shared" si="64"/>
        <v/>
      </c>
      <c r="Y75" s="80" t="str">
        <f t="shared" si="64"/>
        <v/>
      </c>
      <c r="Z75" s="80" t="str">
        <f t="shared" si="64"/>
        <v/>
      </c>
      <c r="AA75" s="80" t="str">
        <f t="shared" si="64"/>
        <v/>
      </c>
      <c r="AB75" s="80" t="str">
        <f t="shared" si="64"/>
        <v/>
      </c>
      <c r="AC75" s="80" t="str">
        <f t="shared" si="64"/>
        <v/>
      </c>
      <c r="AD75" s="80" t="str">
        <f t="shared" si="64"/>
        <v/>
      </c>
      <c r="AE75" s="80" t="str">
        <f t="shared" si="64"/>
        <v/>
      </c>
      <c r="AF75" s="80" t="str">
        <f t="shared" si="64"/>
        <v/>
      </c>
      <c r="AG75" s="80" t="str">
        <f t="shared" si="64"/>
        <v/>
      </c>
      <c r="AH75" s="80" t="str">
        <f t="shared" si="64"/>
        <v/>
      </c>
      <c r="AI75" s="80" t="str">
        <f t="shared" si="64"/>
        <v/>
      </c>
      <c r="AJ75" s="80" t="str">
        <f t="shared" si="64"/>
        <v/>
      </c>
      <c r="AK75" s="80" t="str">
        <f t="shared" si="64"/>
        <v/>
      </c>
      <c r="AL75" s="80" t="str">
        <f t="shared" si="64"/>
        <v/>
      </c>
      <c r="AM75" s="80" t="str">
        <f t="shared" si="64"/>
        <v/>
      </c>
      <c r="AN75" s="80" t="str">
        <f t="shared" si="64"/>
        <v/>
      </c>
      <c r="AO75" s="80" t="str">
        <f t="shared" si="64"/>
        <v/>
      </c>
      <c r="AP75" s="80" t="str">
        <f t="shared" si="64"/>
        <v/>
      </c>
      <c r="AQ75" s="80" t="str">
        <f t="shared" si="64"/>
        <v/>
      </c>
      <c r="AR75" s="80" t="str">
        <f t="shared" si="64"/>
        <v/>
      </c>
      <c r="AS75" s="80" t="str">
        <f t="shared" si="64"/>
        <v/>
      </c>
      <c r="AT75" s="80" t="str">
        <f t="shared" si="64"/>
        <v/>
      </c>
      <c r="AU75" s="80" t="str">
        <f t="shared" si="64"/>
        <v/>
      </c>
      <c r="AV75" s="80" t="str">
        <f t="shared" ref="AV75:AW75" si="65">IF(OR($R$74="2x2",$R$74="4x1"),"",IF(AND($R$74="1x4",ISNUMBER(AV63)),AV63,"X"))</f>
        <v/>
      </c>
      <c r="AW75" s="80" t="str">
        <f t="shared" si="65"/>
        <v/>
      </c>
      <c r="CR75" s="7" t="str">
        <f t="shared" si="58"/>
        <v/>
      </c>
      <c r="CS75" s="7" t="str">
        <f t="shared" si="59"/>
        <v/>
      </c>
    </row>
    <row r="76" spans="1:98" x14ac:dyDescent="0.2">
      <c r="A76" s="7">
        <f t="shared" si="54"/>
        <v>0</v>
      </c>
      <c r="B76" s="7" t="e">
        <f t="shared" si="51"/>
        <v>#VALUE!</v>
      </c>
      <c r="C76" s="7" t="e">
        <f t="shared" si="55"/>
        <v>#VALUE!</v>
      </c>
      <c r="D76" s="7" t="str">
        <f t="shared" si="60"/>
        <v/>
      </c>
      <c r="E76" s="7" t="str">
        <f t="shared" si="52"/>
        <v/>
      </c>
      <c r="F76" s="525" t="str">
        <f t="shared" si="56"/>
        <v/>
      </c>
      <c r="G76" s="524"/>
      <c r="H76" s="524"/>
      <c r="I76" s="524"/>
      <c r="J76" s="523">
        <v>76</v>
      </c>
      <c r="O76" s="7" t="s">
        <v>397</v>
      </c>
      <c r="P76" s="80">
        <f>IF($R$74="4x1","",IF(AND(OR($R$74="1x4",$R$74="2x2"),ISNUMBER(P64),P64&gt;0),P64,"X"))</f>
        <v>1</v>
      </c>
      <c r="Q76" s="80">
        <f t="shared" ref="Q76:AU76" si="66">IF($R$74="4x1","",IF(AND(OR($R$74="1x4",$R$74="2x2"),ISNUMBER(Q64),Q64&gt;0),Q64,"X"))</f>
        <v>2</v>
      </c>
      <c r="R76" s="80">
        <f t="shared" si="66"/>
        <v>6</v>
      </c>
      <c r="S76" s="80">
        <f t="shared" si="66"/>
        <v>5</v>
      </c>
      <c r="T76" s="80">
        <f t="shared" si="66"/>
        <v>6</v>
      </c>
      <c r="U76" s="80">
        <f t="shared" si="66"/>
        <v>7</v>
      </c>
      <c r="V76" s="80">
        <f t="shared" si="66"/>
        <v>4</v>
      </c>
      <c r="W76" s="80">
        <f t="shared" si="66"/>
        <v>5</v>
      </c>
      <c r="X76" s="80">
        <f t="shared" si="66"/>
        <v>7</v>
      </c>
      <c r="Y76" s="80">
        <f t="shared" si="66"/>
        <v>1</v>
      </c>
      <c r="Z76" s="80">
        <f t="shared" si="66"/>
        <v>4</v>
      </c>
      <c r="AA76" s="80">
        <f t="shared" si="66"/>
        <v>2</v>
      </c>
      <c r="AB76" s="80">
        <f t="shared" si="66"/>
        <v>6</v>
      </c>
      <c r="AC76" s="80">
        <f t="shared" si="66"/>
        <v>3</v>
      </c>
      <c r="AD76" s="80" t="str">
        <f t="shared" si="66"/>
        <v>X</v>
      </c>
      <c r="AE76" s="80" t="str">
        <f t="shared" si="66"/>
        <v>X</v>
      </c>
      <c r="AF76" s="80" t="str">
        <f t="shared" si="66"/>
        <v>X</v>
      </c>
      <c r="AG76" s="80" t="str">
        <f t="shared" si="66"/>
        <v>X</v>
      </c>
      <c r="AH76" s="80" t="str">
        <f t="shared" si="66"/>
        <v>X</v>
      </c>
      <c r="AI76" s="80" t="str">
        <f t="shared" si="66"/>
        <v>X</v>
      </c>
      <c r="AJ76" s="80" t="str">
        <f t="shared" si="66"/>
        <v>X</v>
      </c>
      <c r="AK76" s="80" t="str">
        <f t="shared" si="66"/>
        <v>X</v>
      </c>
      <c r="AL76" s="80" t="str">
        <f t="shared" si="66"/>
        <v>X</v>
      </c>
      <c r="AM76" s="80" t="str">
        <f t="shared" si="66"/>
        <v>X</v>
      </c>
      <c r="AN76" s="80" t="str">
        <f t="shared" si="66"/>
        <v>X</v>
      </c>
      <c r="AO76" s="80" t="str">
        <f t="shared" si="66"/>
        <v>X</v>
      </c>
      <c r="AP76" s="80" t="str">
        <f t="shared" si="66"/>
        <v>X</v>
      </c>
      <c r="AQ76" s="80" t="str">
        <f t="shared" si="66"/>
        <v>X</v>
      </c>
      <c r="AR76" s="80" t="str">
        <f t="shared" si="66"/>
        <v>X</v>
      </c>
      <c r="AS76" s="80" t="str">
        <f t="shared" si="66"/>
        <v>X</v>
      </c>
      <c r="AT76" s="80" t="str">
        <f t="shared" si="66"/>
        <v>X</v>
      </c>
      <c r="AU76" s="80" t="str">
        <f t="shared" si="66"/>
        <v>X</v>
      </c>
      <c r="AV76" s="80" t="str">
        <f t="shared" ref="AV76:AW76" si="67">IF($R$74="4x1","",IF(AND(OR($R$74="1x4",$R$74="2x2"),ISNUMBER(AV64),AV64&gt;0),AV64,"X"))</f>
        <v>X</v>
      </c>
      <c r="AW76" s="80" t="str">
        <f t="shared" si="67"/>
        <v>X</v>
      </c>
      <c r="CR76" s="7" t="str">
        <f t="shared" si="58"/>
        <v/>
      </c>
      <c r="CS76" s="7" t="str">
        <f t="shared" si="59"/>
        <v/>
      </c>
    </row>
    <row r="77" spans="1:98" x14ac:dyDescent="0.2">
      <c r="A77" s="7">
        <f t="shared" si="54"/>
        <v>0</v>
      </c>
      <c r="B77" s="7" t="e">
        <f t="shared" si="51"/>
        <v>#VALUE!</v>
      </c>
      <c r="C77" s="7" t="e">
        <f t="shared" si="55"/>
        <v>#VALUE!</v>
      </c>
      <c r="D77" s="7" t="str">
        <f t="shared" si="60"/>
        <v/>
      </c>
      <c r="E77" s="7" t="str">
        <f t="shared" si="52"/>
        <v/>
      </c>
      <c r="F77" s="525" t="str">
        <f t="shared" si="56"/>
        <v/>
      </c>
      <c r="G77" s="524"/>
      <c r="H77" s="524"/>
      <c r="I77" s="524"/>
      <c r="J77" s="523">
        <v>77</v>
      </c>
      <c r="O77" s="7" t="s">
        <v>397</v>
      </c>
      <c r="P77" s="80">
        <f>IF($R$74="4x1","",IF(AND(OR($R$74="1x4",$R$74="2x2"),ISNUMBER(P65),P65&gt;0),P65,"X"))</f>
        <v>7</v>
      </c>
      <c r="Q77" s="80">
        <f t="shared" ref="Q77:AU77" si="68">IF($R$74="4x1","",IF(AND(OR($R$74="1x4",$R$74="2x2"),ISNUMBER(Q65),Q65&gt;0),Q65,"X"))</f>
        <v>4</v>
      </c>
      <c r="R77" s="80">
        <f t="shared" si="68"/>
        <v>3</v>
      </c>
      <c r="S77" s="80">
        <f t="shared" si="68"/>
        <v>1</v>
      </c>
      <c r="T77" s="80">
        <f t="shared" si="68"/>
        <v>3</v>
      </c>
      <c r="U77" s="80">
        <f t="shared" si="68"/>
        <v>5</v>
      </c>
      <c r="V77" s="80">
        <f t="shared" si="68"/>
        <v>2</v>
      </c>
      <c r="W77" s="80">
        <f t="shared" si="68"/>
        <v>3</v>
      </c>
      <c r="X77" s="80">
        <f t="shared" si="68"/>
        <v>6</v>
      </c>
      <c r="Y77" s="80">
        <f t="shared" si="68"/>
        <v>2</v>
      </c>
      <c r="Z77" s="80">
        <f t="shared" si="68"/>
        <v>7</v>
      </c>
      <c r="AA77" s="80">
        <f t="shared" si="68"/>
        <v>4</v>
      </c>
      <c r="AB77" s="80">
        <f t="shared" si="68"/>
        <v>1</v>
      </c>
      <c r="AC77" s="80">
        <f t="shared" si="68"/>
        <v>5</v>
      </c>
      <c r="AD77" s="80" t="str">
        <f t="shared" si="68"/>
        <v>X</v>
      </c>
      <c r="AE77" s="80" t="str">
        <f t="shared" si="68"/>
        <v>X</v>
      </c>
      <c r="AF77" s="80" t="str">
        <f t="shared" si="68"/>
        <v>X</v>
      </c>
      <c r="AG77" s="80" t="str">
        <f t="shared" si="68"/>
        <v>X</v>
      </c>
      <c r="AH77" s="80" t="str">
        <f t="shared" si="68"/>
        <v>X</v>
      </c>
      <c r="AI77" s="80" t="str">
        <f t="shared" si="68"/>
        <v>X</v>
      </c>
      <c r="AJ77" s="80" t="str">
        <f t="shared" si="68"/>
        <v>X</v>
      </c>
      <c r="AK77" s="80" t="str">
        <f t="shared" si="68"/>
        <v>X</v>
      </c>
      <c r="AL77" s="80" t="str">
        <f t="shared" si="68"/>
        <v>X</v>
      </c>
      <c r="AM77" s="80" t="str">
        <f t="shared" si="68"/>
        <v>X</v>
      </c>
      <c r="AN77" s="80" t="str">
        <f t="shared" si="68"/>
        <v>X</v>
      </c>
      <c r="AO77" s="80" t="str">
        <f t="shared" si="68"/>
        <v>X</v>
      </c>
      <c r="AP77" s="80" t="str">
        <f t="shared" si="68"/>
        <v>X</v>
      </c>
      <c r="AQ77" s="80" t="str">
        <f t="shared" si="68"/>
        <v>X</v>
      </c>
      <c r="AR77" s="80" t="str">
        <f t="shared" si="68"/>
        <v>X</v>
      </c>
      <c r="AS77" s="80" t="str">
        <f t="shared" si="68"/>
        <v>X</v>
      </c>
      <c r="AT77" s="80" t="str">
        <f t="shared" si="68"/>
        <v>X</v>
      </c>
      <c r="AU77" s="80" t="str">
        <f t="shared" si="68"/>
        <v>X</v>
      </c>
      <c r="AV77" s="80" t="str">
        <f t="shared" ref="AV77:AW77" si="69">IF($R$74="4x1","",IF(AND(OR($R$74="1x4",$R$74="2x2"),ISNUMBER(AV65),AV65&gt;0),AV65,"X"))</f>
        <v>X</v>
      </c>
      <c r="AW77" s="80" t="str">
        <f t="shared" si="69"/>
        <v>X</v>
      </c>
      <c r="CR77" s="7" t="str">
        <f t="shared" si="58"/>
        <v/>
      </c>
      <c r="CS77" s="7" t="str">
        <f t="shared" si="59"/>
        <v/>
      </c>
    </row>
    <row r="78" spans="1:98" x14ac:dyDescent="0.2">
      <c r="A78" s="7">
        <f t="shared" si="54"/>
        <v>0</v>
      </c>
      <c r="B78" s="7" t="e">
        <f t="shared" si="51"/>
        <v>#VALUE!</v>
      </c>
      <c r="C78" s="7" t="e">
        <f t="shared" si="55"/>
        <v>#VALUE!</v>
      </c>
      <c r="D78" s="7" t="str">
        <f t="shared" si="60"/>
        <v/>
      </c>
      <c r="E78" s="7" t="str">
        <f t="shared" si="52"/>
        <v/>
      </c>
      <c r="F78" s="525" t="str">
        <f t="shared" si="56"/>
        <v/>
      </c>
      <c r="G78" s="524"/>
      <c r="H78" s="524"/>
      <c r="I78" s="524"/>
      <c r="J78" s="523">
        <v>78</v>
      </c>
      <c r="O78" s="7" t="s">
        <v>397</v>
      </c>
      <c r="P78" s="80" t="str">
        <f>IF($R$74="2x2","",IF(AND(ISNUMBER(P66),P66&gt;0),P66,"X"))</f>
        <v/>
      </c>
      <c r="Q78" s="80" t="str">
        <f t="shared" ref="Q78:AU78" si="70">IF($R$74="2x2","",IF(AND(ISNUMBER(Q66),Q66&gt;0),Q66,"X"))</f>
        <v/>
      </c>
      <c r="R78" s="80" t="str">
        <f t="shared" si="70"/>
        <v/>
      </c>
      <c r="S78" s="80" t="str">
        <f t="shared" si="70"/>
        <v/>
      </c>
      <c r="T78" s="80" t="str">
        <f t="shared" si="70"/>
        <v/>
      </c>
      <c r="U78" s="80" t="str">
        <f t="shared" si="70"/>
        <v/>
      </c>
      <c r="V78" s="80" t="str">
        <f t="shared" si="70"/>
        <v/>
      </c>
      <c r="W78" s="80" t="str">
        <f t="shared" si="70"/>
        <v/>
      </c>
      <c r="X78" s="80" t="str">
        <f t="shared" si="70"/>
        <v/>
      </c>
      <c r="Y78" s="80" t="str">
        <f t="shared" si="70"/>
        <v/>
      </c>
      <c r="Z78" s="80" t="str">
        <f t="shared" si="70"/>
        <v/>
      </c>
      <c r="AA78" s="80" t="str">
        <f t="shared" si="70"/>
        <v/>
      </c>
      <c r="AB78" s="80" t="str">
        <f t="shared" si="70"/>
        <v/>
      </c>
      <c r="AC78" s="80" t="str">
        <f t="shared" si="70"/>
        <v/>
      </c>
      <c r="AD78" s="80" t="str">
        <f t="shared" si="70"/>
        <v/>
      </c>
      <c r="AE78" s="80" t="str">
        <f t="shared" si="70"/>
        <v/>
      </c>
      <c r="AF78" s="80" t="str">
        <f t="shared" si="70"/>
        <v/>
      </c>
      <c r="AG78" s="80" t="str">
        <f t="shared" si="70"/>
        <v/>
      </c>
      <c r="AH78" s="80" t="str">
        <f t="shared" si="70"/>
        <v/>
      </c>
      <c r="AI78" s="80" t="str">
        <f t="shared" si="70"/>
        <v/>
      </c>
      <c r="AJ78" s="80" t="str">
        <f t="shared" si="70"/>
        <v/>
      </c>
      <c r="AK78" s="80" t="str">
        <f t="shared" si="70"/>
        <v/>
      </c>
      <c r="AL78" s="80" t="str">
        <f t="shared" si="70"/>
        <v/>
      </c>
      <c r="AM78" s="80" t="str">
        <f t="shared" si="70"/>
        <v/>
      </c>
      <c r="AN78" s="80" t="str">
        <f t="shared" si="70"/>
        <v/>
      </c>
      <c r="AO78" s="80" t="str">
        <f t="shared" si="70"/>
        <v/>
      </c>
      <c r="AP78" s="80" t="str">
        <f t="shared" si="70"/>
        <v/>
      </c>
      <c r="AQ78" s="80" t="str">
        <f t="shared" si="70"/>
        <v/>
      </c>
      <c r="AR78" s="80" t="str">
        <f t="shared" si="70"/>
        <v/>
      </c>
      <c r="AS78" s="80" t="str">
        <f t="shared" si="70"/>
        <v/>
      </c>
      <c r="AT78" s="80" t="str">
        <f t="shared" si="70"/>
        <v/>
      </c>
      <c r="AU78" s="80" t="str">
        <f t="shared" si="70"/>
        <v/>
      </c>
      <c r="AV78" s="80" t="str">
        <f t="shared" ref="AV78:AW78" si="71">IF($R$74="2x2","",IF(AND(ISNUMBER(AV66),AV66&gt;0),AV66,"X"))</f>
        <v/>
      </c>
      <c r="AW78" s="80" t="str">
        <f t="shared" si="71"/>
        <v/>
      </c>
      <c r="CR78" s="7" t="str">
        <f t="shared" si="58"/>
        <v/>
      </c>
      <c r="CS78" s="7" t="str">
        <f t="shared" si="59"/>
        <v/>
      </c>
    </row>
    <row r="79" spans="1:98" x14ac:dyDescent="0.2">
      <c r="A79" s="7">
        <f t="shared" si="54"/>
        <v>0</v>
      </c>
      <c r="B79" s="7" t="e">
        <f t="shared" si="51"/>
        <v>#VALUE!</v>
      </c>
      <c r="C79" s="7" t="e">
        <f t="shared" si="55"/>
        <v>#VALUE!</v>
      </c>
      <c r="D79" s="7" t="str">
        <f t="shared" si="60"/>
        <v/>
      </c>
      <c r="E79" s="7" t="str">
        <f t="shared" si="52"/>
        <v/>
      </c>
      <c r="F79" s="525" t="str">
        <f t="shared" si="56"/>
        <v/>
      </c>
      <c r="G79" s="524"/>
      <c r="H79" s="524"/>
      <c r="I79" s="524"/>
      <c r="J79" s="523">
        <v>79</v>
      </c>
      <c r="CR79" s="7" t="str">
        <f t="shared" si="58"/>
        <v/>
      </c>
      <c r="CS79" s="7" t="str">
        <f t="shared" si="59"/>
        <v/>
      </c>
    </row>
    <row r="80" spans="1:98" x14ac:dyDescent="0.2">
      <c r="A80" s="7">
        <f t="shared" si="54"/>
        <v>0</v>
      </c>
      <c r="B80" s="7" t="e">
        <f t="shared" si="51"/>
        <v>#VALUE!</v>
      </c>
      <c r="C80" s="7" t="e">
        <f t="shared" si="55"/>
        <v>#VALUE!</v>
      </c>
      <c r="D80" s="7" t="str">
        <f t="shared" si="60"/>
        <v/>
      </c>
      <c r="E80" s="7" t="str">
        <f t="shared" si="52"/>
        <v/>
      </c>
      <c r="F80" s="525" t="str">
        <f t="shared" si="56"/>
        <v/>
      </c>
      <c r="G80" s="524"/>
      <c r="H80" s="524"/>
      <c r="I80" s="524"/>
      <c r="J80" s="523">
        <v>80</v>
      </c>
      <c r="R80" s="82" t="str">
        <f>R74</f>
        <v>2x2</v>
      </c>
      <c r="T80" s="7" t="str">
        <f>Fältkort!F36</f>
        <v>Ja</v>
      </c>
      <c r="CR80" s="7" t="str">
        <f t="shared" si="58"/>
        <v/>
      </c>
      <c r="CS80" s="7" t="str">
        <f t="shared" si="59"/>
        <v/>
      </c>
    </row>
    <row r="81" spans="1:97" x14ac:dyDescent="0.2">
      <c r="A81" s="7">
        <f t="shared" si="54"/>
        <v>0</v>
      </c>
      <c r="B81" s="7" t="e">
        <f t="shared" si="51"/>
        <v>#VALUE!</v>
      </c>
      <c r="C81" s="7" t="e">
        <f t="shared" si="55"/>
        <v>#VALUE!</v>
      </c>
      <c r="D81" s="7" t="str">
        <f t="shared" si="60"/>
        <v/>
      </c>
      <c r="E81" s="7" t="str">
        <f t="shared" si="52"/>
        <v/>
      </c>
      <c r="F81" s="525" t="str">
        <f t="shared" si="56"/>
        <v/>
      </c>
      <c r="G81" s="524"/>
      <c r="H81" s="524"/>
      <c r="I81" s="524"/>
      <c r="J81" s="523">
        <v>81</v>
      </c>
      <c r="O81" s="7" t="s">
        <v>397</v>
      </c>
      <c r="P81" s="81" t="str">
        <f>IF(OR(O75="X",P75=0),"",P75)</f>
        <v/>
      </c>
      <c r="Q81" s="81" t="str">
        <f t="shared" ref="Q81:AU81" si="72">IF(OR(P75="X",Q75=0),"",Q75)</f>
        <v/>
      </c>
      <c r="R81" s="81" t="str">
        <f t="shared" si="72"/>
        <v/>
      </c>
      <c r="S81" s="81" t="str">
        <f t="shared" si="72"/>
        <v/>
      </c>
      <c r="T81" s="81" t="str">
        <f t="shared" si="72"/>
        <v/>
      </c>
      <c r="U81" s="81" t="str">
        <f t="shared" si="72"/>
        <v/>
      </c>
      <c r="V81" s="81" t="str">
        <f t="shared" si="72"/>
        <v/>
      </c>
      <c r="W81" s="81" t="str">
        <f t="shared" si="72"/>
        <v/>
      </c>
      <c r="X81" s="81" t="str">
        <f t="shared" si="72"/>
        <v/>
      </c>
      <c r="Y81" s="81" t="str">
        <f t="shared" si="72"/>
        <v/>
      </c>
      <c r="Z81" s="81" t="str">
        <f t="shared" si="72"/>
        <v/>
      </c>
      <c r="AA81" s="81" t="str">
        <f t="shared" si="72"/>
        <v/>
      </c>
      <c r="AB81" s="81" t="str">
        <f t="shared" si="72"/>
        <v/>
      </c>
      <c r="AC81" s="81" t="str">
        <f t="shared" si="72"/>
        <v/>
      </c>
      <c r="AD81" s="81" t="str">
        <f t="shared" si="72"/>
        <v/>
      </c>
      <c r="AE81" s="81" t="str">
        <f t="shared" si="72"/>
        <v/>
      </c>
      <c r="AF81" s="81" t="str">
        <f t="shared" si="72"/>
        <v/>
      </c>
      <c r="AG81" s="81" t="str">
        <f t="shared" si="72"/>
        <v/>
      </c>
      <c r="AH81" s="81" t="str">
        <f t="shared" si="72"/>
        <v/>
      </c>
      <c r="AI81" s="81" t="str">
        <f t="shared" si="72"/>
        <v/>
      </c>
      <c r="AJ81" s="81" t="str">
        <f t="shared" si="72"/>
        <v/>
      </c>
      <c r="AK81" s="81" t="str">
        <f t="shared" si="72"/>
        <v/>
      </c>
      <c r="AL81" s="81" t="str">
        <f t="shared" si="72"/>
        <v/>
      </c>
      <c r="AM81" s="81" t="str">
        <f t="shared" si="72"/>
        <v/>
      </c>
      <c r="AN81" s="81" t="str">
        <f t="shared" si="72"/>
        <v/>
      </c>
      <c r="AO81" s="81" t="str">
        <f t="shared" si="72"/>
        <v/>
      </c>
      <c r="AP81" s="81" t="str">
        <f t="shared" si="72"/>
        <v/>
      </c>
      <c r="AQ81" s="81" t="str">
        <f t="shared" si="72"/>
        <v/>
      </c>
      <c r="AR81" s="81" t="str">
        <f t="shared" si="72"/>
        <v/>
      </c>
      <c r="AS81" s="81" t="str">
        <f t="shared" si="72"/>
        <v/>
      </c>
      <c r="AT81" s="81" t="str">
        <f t="shared" si="72"/>
        <v/>
      </c>
      <c r="AU81" s="81" t="str">
        <f t="shared" si="72"/>
        <v/>
      </c>
      <c r="AV81" s="81" t="str">
        <f t="shared" ref="AV81:AV84" si="73">IF(OR(AU75="X",AV75=0),"",AV75)</f>
        <v/>
      </c>
      <c r="AW81" s="81" t="str">
        <f t="shared" ref="AW81:AW84" si="74">IF(OR(AV75="X",AW75=0),"",AW75)</f>
        <v/>
      </c>
      <c r="CR81" s="7" t="str">
        <f t="shared" si="58"/>
        <v/>
      </c>
      <c r="CS81" s="7" t="str">
        <f t="shared" si="59"/>
        <v/>
      </c>
    </row>
    <row r="82" spans="1:97" x14ac:dyDescent="0.2">
      <c r="O82" s="7" t="s">
        <v>397</v>
      </c>
      <c r="P82" s="81">
        <f>IF(OR(O76="X",P76=0),"",P76)</f>
        <v>1</v>
      </c>
      <c r="Q82" s="81">
        <f t="shared" ref="Q82:AE82" si="75">IF(OR(P76="X",Q76=0),"",Q76)</f>
        <v>2</v>
      </c>
      <c r="R82" s="81">
        <f t="shared" si="75"/>
        <v>6</v>
      </c>
      <c r="S82" s="81">
        <f t="shared" si="75"/>
        <v>5</v>
      </c>
      <c r="T82" s="81">
        <f t="shared" si="75"/>
        <v>6</v>
      </c>
      <c r="U82" s="81">
        <f t="shared" si="75"/>
        <v>7</v>
      </c>
      <c r="V82" s="81">
        <f t="shared" si="75"/>
        <v>4</v>
      </c>
      <c r="W82" s="81">
        <f t="shared" si="75"/>
        <v>5</v>
      </c>
      <c r="X82" s="81">
        <f t="shared" si="75"/>
        <v>7</v>
      </c>
      <c r="Y82" s="81">
        <f t="shared" si="75"/>
        <v>1</v>
      </c>
      <c r="Z82" s="81">
        <f t="shared" si="75"/>
        <v>4</v>
      </c>
      <c r="AA82" s="81">
        <f t="shared" si="75"/>
        <v>2</v>
      </c>
      <c r="AB82" s="81">
        <f t="shared" si="75"/>
        <v>6</v>
      </c>
      <c r="AC82" s="81">
        <f t="shared" si="75"/>
        <v>3</v>
      </c>
      <c r="AD82" s="81" t="str">
        <f t="shared" si="75"/>
        <v>X</v>
      </c>
      <c r="AE82" s="81" t="str">
        <f t="shared" si="75"/>
        <v/>
      </c>
      <c r="AF82" s="81" t="str">
        <f t="shared" ref="AF82:AU82" si="76">IF(OR(AE76="X",AF76=0),"",AF76)</f>
        <v/>
      </c>
      <c r="AG82" s="81" t="str">
        <f t="shared" si="76"/>
        <v/>
      </c>
      <c r="AH82" s="81" t="str">
        <f t="shared" si="76"/>
        <v/>
      </c>
      <c r="AI82" s="81" t="str">
        <f t="shared" si="76"/>
        <v/>
      </c>
      <c r="AJ82" s="81" t="str">
        <f t="shared" si="76"/>
        <v/>
      </c>
      <c r="AK82" s="81" t="str">
        <f t="shared" si="76"/>
        <v/>
      </c>
      <c r="AL82" s="81" t="str">
        <f t="shared" si="76"/>
        <v/>
      </c>
      <c r="AM82" s="81" t="str">
        <f t="shared" si="76"/>
        <v/>
      </c>
      <c r="AN82" s="81" t="str">
        <f t="shared" si="76"/>
        <v/>
      </c>
      <c r="AO82" s="81" t="str">
        <f t="shared" si="76"/>
        <v/>
      </c>
      <c r="AP82" s="81" t="str">
        <f t="shared" si="76"/>
        <v/>
      </c>
      <c r="AQ82" s="81" t="str">
        <f t="shared" si="76"/>
        <v/>
      </c>
      <c r="AR82" s="81" t="str">
        <f t="shared" si="76"/>
        <v/>
      </c>
      <c r="AS82" s="81" t="str">
        <f t="shared" si="76"/>
        <v/>
      </c>
      <c r="AT82" s="81" t="str">
        <f t="shared" si="76"/>
        <v/>
      </c>
      <c r="AU82" s="81" t="str">
        <f t="shared" si="76"/>
        <v/>
      </c>
      <c r="AV82" s="81" t="str">
        <f t="shared" si="73"/>
        <v/>
      </c>
      <c r="AW82" s="81" t="str">
        <f t="shared" si="74"/>
        <v/>
      </c>
    </row>
    <row r="83" spans="1:97" x14ac:dyDescent="0.2">
      <c r="O83" s="7" t="s">
        <v>397</v>
      </c>
      <c r="P83" s="81">
        <f t="shared" ref="P83:AE83" si="77">IF(OR(O77="X",P77=0),"",P77)</f>
        <v>7</v>
      </c>
      <c r="Q83" s="81">
        <f t="shared" si="77"/>
        <v>4</v>
      </c>
      <c r="R83" s="81">
        <f t="shared" si="77"/>
        <v>3</v>
      </c>
      <c r="S83" s="81">
        <f t="shared" si="77"/>
        <v>1</v>
      </c>
      <c r="T83" s="81">
        <f t="shared" si="77"/>
        <v>3</v>
      </c>
      <c r="U83" s="81">
        <f t="shared" si="77"/>
        <v>5</v>
      </c>
      <c r="V83" s="81">
        <f t="shared" si="77"/>
        <v>2</v>
      </c>
      <c r="W83" s="81">
        <f t="shared" si="77"/>
        <v>3</v>
      </c>
      <c r="X83" s="81">
        <f t="shared" si="77"/>
        <v>6</v>
      </c>
      <c r="Y83" s="81">
        <f t="shared" si="77"/>
        <v>2</v>
      </c>
      <c r="Z83" s="81">
        <f t="shared" si="77"/>
        <v>7</v>
      </c>
      <c r="AA83" s="81">
        <f t="shared" si="77"/>
        <v>4</v>
      </c>
      <c r="AB83" s="81">
        <f t="shared" si="77"/>
        <v>1</v>
      </c>
      <c r="AC83" s="81">
        <f t="shared" si="77"/>
        <v>5</v>
      </c>
      <c r="AD83" s="81" t="str">
        <f t="shared" si="77"/>
        <v>X</v>
      </c>
      <c r="AE83" s="81" t="str">
        <f t="shared" si="77"/>
        <v/>
      </c>
      <c r="AF83" s="81" t="str">
        <f t="shared" ref="AF83:AU83" si="78">IF(OR(AE77="X",AF77=0),"",AF77)</f>
        <v/>
      </c>
      <c r="AG83" s="81" t="str">
        <f t="shared" si="78"/>
        <v/>
      </c>
      <c r="AH83" s="81" t="str">
        <f t="shared" si="78"/>
        <v/>
      </c>
      <c r="AI83" s="81" t="str">
        <f t="shared" si="78"/>
        <v/>
      </c>
      <c r="AJ83" s="81" t="str">
        <f t="shared" si="78"/>
        <v/>
      </c>
      <c r="AK83" s="81" t="str">
        <f t="shared" si="78"/>
        <v/>
      </c>
      <c r="AL83" s="81" t="str">
        <f t="shared" si="78"/>
        <v/>
      </c>
      <c r="AM83" s="81" t="str">
        <f t="shared" si="78"/>
        <v/>
      </c>
      <c r="AN83" s="81" t="str">
        <f t="shared" si="78"/>
        <v/>
      </c>
      <c r="AO83" s="81" t="str">
        <f t="shared" si="78"/>
        <v/>
      </c>
      <c r="AP83" s="81" t="str">
        <f t="shared" si="78"/>
        <v/>
      </c>
      <c r="AQ83" s="81" t="str">
        <f t="shared" si="78"/>
        <v/>
      </c>
      <c r="AR83" s="81" t="str">
        <f t="shared" si="78"/>
        <v/>
      </c>
      <c r="AS83" s="81" t="str">
        <f t="shared" si="78"/>
        <v/>
      </c>
      <c r="AT83" s="81" t="str">
        <f t="shared" si="78"/>
        <v/>
      </c>
      <c r="AU83" s="81" t="str">
        <f t="shared" si="78"/>
        <v/>
      </c>
      <c r="AV83" s="81" t="str">
        <f t="shared" si="73"/>
        <v/>
      </c>
      <c r="AW83" s="81" t="str">
        <f t="shared" si="74"/>
        <v/>
      </c>
    </row>
    <row r="84" spans="1:97" x14ac:dyDescent="0.2">
      <c r="O84" s="7" t="s">
        <v>397</v>
      </c>
      <c r="P84" s="81" t="str">
        <f t="shared" ref="P84:AU84" si="79">IF(OR(O78="X",P78=0),"",P78)</f>
        <v/>
      </c>
      <c r="Q84" s="81" t="str">
        <f t="shared" si="79"/>
        <v/>
      </c>
      <c r="R84" s="81" t="str">
        <f t="shared" si="79"/>
        <v/>
      </c>
      <c r="S84" s="81" t="str">
        <f t="shared" si="79"/>
        <v/>
      </c>
      <c r="T84" s="81" t="str">
        <f t="shared" si="79"/>
        <v/>
      </c>
      <c r="U84" s="81" t="str">
        <f t="shared" si="79"/>
        <v/>
      </c>
      <c r="V84" s="81" t="str">
        <f t="shared" si="79"/>
        <v/>
      </c>
      <c r="W84" s="81" t="str">
        <f t="shared" si="79"/>
        <v/>
      </c>
      <c r="X84" s="81" t="str">
        <f t="shared" si="79"/>
        <v/>
      </c>
      <c r="Y84" s="81" t="str">
        <f t="shared" si="79"/>
        <v/>
      </c>
      <c r="Z84" s="81" t="str">
        <f t="shared" si="79"/>
        <v/>
      </c>
      <c r="AA84" s="81" t="str">
        <f t="shared" si="79"/>
        <v/>
      </c>
      <c r="AB84" s="81" t="str">
        <f t="shared" si="79"/>
        <v/>
      </c>
      <c r="AC84" s="81" t="str">
        <f t="shared" si="79"/>
        <v/>
      </c>
      <c r="AD84" s="81" t="str">
        <f t="shared" si="79"/>
        <v/>
      </c>
      <c r="AE84" s="81" t="str">
        <f t="shared" si="79"/>
        <v/>
      </c>
      <c r="AF84" s="81" t="str">
        <f t="shared" si="79"/>
        <v/>
      </c>
      <c r="AG84" s="81" t="str">
        <f t="shared" si="79"/>
        <v/>
      </c>
      <c r="AH84" s="81" t="str">
        <f t="shared" si="79"/>
        <v/>
      </c>
      <c r="AI84" s="81" t="str">
        <f t="shared" si="79"/>
        <v/>
      </c>
      <c r="AJ84" s="81" t="str">
        <f t="shared" si="79"/>
        <v/>
      </c>
      <c r="AK84" s="81" t="str">
        <f t="shared" si="79"/>
        <v/>
      </c>
      <c r="AL84" s="81" t="str">
        <f t="shared" si="79"/>
        <v/>
      </c>
      <c r="AM84" s="81" t="str">
        <f t="shared" si="79"/>
        <v/>
      </c>
      <c r="AN84" s="81" t="str">
        <f t="shared" si="79"/>
        <v/>
      </c>
      <c r="AO84" s="81" t="str">
        <f t="shared" si="79"/>
        <v/>
      </c>
      <c r="AP84" s="81" t="str">
        <f t="shared" si="79"/>
        <v/>
      </c>
      <c r="AQ84" s="81" t="str">
        <f t="shared" si="79"/>
        <v/>
      </c>
      <c r="AR84" s="81" t="str">
        <f t="shared" si="79"/>
        <v/>
      </c>
      <c r="AS84" s="81" t="str">
        <f t="shared" si="79"/>
        <v/>
      </c>
      <c r="AT84" s="81" t="str">
        <f t="shared" si="79"/>
        <v/>
      </c>
      <c r="AU84" s="81" t="str">
        <f t="shared" si="79"/>
        <v/>
      </c>
      <c r="AV84" s="81" t="str">
        <f t="shared" si="73"/>
        <v/>
      </c>
      <c r="AW84" s="81" t="str">
        <f t="shared" si="74"/>
        <v/>
      </c>
    </row>
    <row r="86" spans="1:97" x14ac:dyDescent="0.2">
      <c r="P86" s="83" t="str">
        <f>IF(ISNUMBER(P81),P81,IF(AND(P81="X",$T$80="Ja"),"X",""))</f>
        <v/>
      </c>
      <c r="Q86" s="83" t="str">
        <f t="shared" ref="Q86:AU86" si="80">IF(ISNUMBER(Q81),Q81,IF(AND(Q81="X",$T$80="Ja"),"X",""))</f>
        <v/>
      </c>
      <c r="R86" s="83" t="str">
        <f t="shared" si="80"/>
        <v/>
      </c>
      <c r="S86" s="83" t="str">
        <f t="shared" si="80"/>
        <v/>
      </c>
      <c r="T86" s="83" t="str">
        <f t="shared" si="80"/>
        <v/>
      </c>
      <c r="U86" s="83" t="str">
        <f t="shared" si="80"/>
        <v/>
      </c>
      <c r="V86" s="83" t="str">
        <f t="shared" si="80"/>
        <v/>
      </c>
      <c r="W86" s="83" t="str">
        <f t="shared" si="80"/>
        <v/>
      </c>
      <c r="X86" s="83" t="str">
        <f t="shared" si="80"/>
        <v/>
      </c>
      <c r="Y86" s="83" t="str">
        <f t="shared" si="80"/>
        <v/>
      </c>
      <c r="Z86" s="83" t="str">
        <f t="shared" si="80"/>
        <v/>
      </c>
      <c r="AA86" s="83" t="str">
        <f t="shared" si="80"/>
        <v/>
      </c>
      <c r="AB86" s="83" t="str">
        <f t="shared" si="80"/>
        <v/>
      </c>
      <c r="AC86" s="83" t="str">
        <f t="shared" si="80"/>
        <v/>
      </c>
      <c r="AD86" s="83" t="str">
        <f t="shared" si="80"/>
        <v/>
      </c>
      <c r="AE86" s="83" t="str">
        <f t="shared" si="80"/>
        <v/>
      </c>
      <c r="AF86" s="83" t="str">
        <f t="shared" si="80"/>
        <v/>
      </c>
      <c r="AG86" s="83" t="str">
        <f t="shared" si="80"/>
        <v/>
      </c>
      <c r="AH86" s="83" t="str">
        <f t="shared" si="80"/>
        <v/>
      </c>
      <c r="AI86" s="83" t="str">
        <f t="shared" si="80"/>
        <v/>
      </c>
      <c r="AJ86" s="83" t="str">
        <f t="shared" si="80"/>
        <v/>
      </c>
      <c r="AK86" s="83" t="str">
        <f t="shared" si="80"/>
        <v/>
      </c>
      <c r="AL86" s="83" t="str">
        <f t="shared" si="80"/>
        <v/>
      </c>
      <c r="AM86" s="83" t="str">
        <f t="shared" si="80"/>
        <v/>
      </c>
      <c r="AN86" s="83" t="str">
        <f t="shared" si="80"/>
        <v/>
      </c>
      <c r="AO86" s="83" t="str">
        <f t="shared" si="80"/>
        <v/>
      </c>
      <c r="AP86" s="83" t="str">
        <f t="shared" si="80"/>
        <v/>
      </c>
      <c r="AQ86" s="83" t="str">
        <f t="shared" si="80"/>
        <v/>
      </c>
      <c r="AR86" s="83" t="str">
        <f t="shared" si="80"/>
        <v/>
      </c>
      <c r="AS86" s="83" t="str">
        <f t="shared" si="80"/>
        <v/>
      </c>
      <c r="AT86" s="83" t="str">
        <f t="shared" si="80"/>
        <v/>
      </c>
      <c r="AU86" s="83" t="str">
        <f t="shared" si="80"/>
        <v/>
      </c>
      <c r="AV86" s="83" t="str">
        <f t="shared" ref="AV86:AW86" si="81">IF(ISNUMBER(AV81),AV81,IF(AND(AV81="X",$T$80="Ja"),"X",""))</f>
        <v/>
      </c>
      <c r="AW86" s="83" t="str">
        <f t="shared" si="81"/>
        <v/>
      </c>
    </row>
    <row r="87" spans="1:97" x14ac:dyDescent="0.2">
      <c r="P87" s="83">
        <f>IF(ISNUMBER(P82),P82,IF(AND(P82="X",$T$80="Ja"),"X",""))</f>
        <v>1</v>
      </c>
      <c r="Q87" s="83">
        <f t="shared" ref="Q87:AE87" si="82">IF(ISNUMBER(Q82),Q82,IF(AND(Q82="X",$T$80="Ja"),"X",""))</f>
        <v>2</v>
      </c>
      <c r="R87" s="83">
        <f t="shared" si="82"/>
        <v>6</v>
      </c>
      <c r="S87" s="83">
        <f t="shared" si="82"/>
        <v>5</v>
      </c>
      <c r="T87" s="83">
        <f t="shared" si="82"/>
        <v>6</v>
      </c>
      <c r="U87" s="83">
        <f t="shared" si="82"/>
        <v>7</v>
      </c>
      <c r="V87" s="83">
        <f t="shared" si="82"/>
        <v>4</v>
      </c>
      <c r="W87" s="83">
        <f t="shared" si="82"/>
        <v>5</v>
      </c>
      <c r="X87" s="83">
        <f t="shared" si="82"/>
        <v>7</v>
      </c>
      <c r="Y87" s="83">
        <f t="shared" si="82"/>
        <v>1</v>
      </c>
      <c r="Z87" s="83">
        <f t="shared" si="82"/>
        <v>4</v>
      </c>
      <c r="AA87" s="83">
        <f t="shared" si="82"/>
        <v>2</v>
      </c>
      <c r="AB87" s="83">
        <f t="shared" si="82"/>
        <v>6</v>
      </c>
      <c r="AC87" s="83">
        <f t="shared" si="82"/>
        <v>3</v>
      </c>
      <c r="AD87" s="83" t="str">
        <f t="shared" si="82"/>
        <v>X</v>
      </c>
      <c r="AE87" s="83" t="str">
        <f t="shared" si="82"/>
        <v/>
      </c>
      <c r="AF87" s="83" t="str">
        <f t="shared" ref="AF87:AU87" si="83">IF(ISNUMBER(AF82),AF82,IF(AND(AF82="X",$T$80="Ja"),"X",""))</f>
        <v/>
      </c>
      <c r="AG87" s="83" t="str">
        <f t="shared" si="83"/>
        <v/>
      </c>
      <c r="AH87" s="83" t="str">
        <f t="shared" si="83"/>
        <v/>
      </c>
      <c r="AI87" s="83" t="str">
        <f t="shared" si="83"/>
        <v/>
      </c>
      <c r="AJ87" s="83" t="str">
        <f t="shared" si="83"/>
        <v/>
      </c>
      <c r="AK87" s="83" t="str">
        <f t="shared" si="83"/>
        <v/>
      </c>
      <c r="AL87" s="83" t="str">
        <f t="shared" si="83"/>
        <v/>
      </c>
      <c r="AM87" s="83" t="str">
        <f t="shared" si="83"/>
        <v/>
      </c>
      <c r="AN87" s="83" t="str">
        <f t="shared" si="83"/>
        <v/>
      </c>
      <c r="AO87" s="83" t="str">
        <f t="shared" si="83"/>
        <v/>
      </c>
      <c r="AP87" s="83" t="str">
        <f t="shared" si="83"/>
        <v/>
      </c>
      <c r="AQ87" s="83" t="str">
        <f t="shared" si="83"/>
        <v/>
      </c>
      <c r="AR87" s="83" t="str">
        <f t="shared" si="83"/>
        <v/>
      </c>
      <c r="AS87" s="83" t="str">
        <f t="shared" si="83"/>
        <v/>
      </c>
      <c r="AT87" s="83" t="str">
        <f t="shared" si="83"/>
        <v/>
      </c>
      <c r="AU87" s="83" t="str">
        <f t="shared" si="83"/>
        <v/>
      </c>
      <c r="AV87" s="83" t="str">
        <f t="shared" ref="AV87:AW87" si="84">IF(ISNUMBER(AV82),AV82,IF(AND(AV82="X",$T$80="Ja"),"X",""))</f>
        <v/>
      </c>
      <c r="AW87" s="83" t="str">
        <f t="shared" si="84"/>
        <v/>
      </c>
    </row>
    <row r="88" spans="1:97" x14ac:dyDescent="0.2">
      <c r="P88" s="83">
        <f t="shared" ref="P88:AE88" si="85">IF(ISNUMBER(P83),P83,IF(AND(P83="X",$T$80="Ja"),"X",""))</f>
        <v>7</v>
      </c>
      <c r="Q88" s="83">
        <f t="shared" si="85"/>
        <v>4</v>
      </c>
      <c r="R88" s="83">
        <f t="shared" si="85"/>
        <v>3</v>
      </c>
      <c r="S88" s="83">
        <f t="shared" si="85"/>
        <v>1</v>
      </c>
      <c r="T88" s="83">
        <f t="shared" si="85"/>
        <v>3</v>
      </c>
      <c r="U88" s="83">
        <f t="shared" si="85"/>
        <v>5</v>
      </c>
      <c r="V88" s="83">
        <f t="shared" si="85"/>
        <v>2</v>
      </c>
      <c r="W88" s="83">
        <f t="shared" si="85"/>
        <v>3</v>
      </c>
      <c r="X88" s="83">
        <f t="shared" si="85"/>
        <v>6</v>
      </c>
      <c r="Y88" s="83">
        <f t="shared" si="85"/>
        <v>2</v>
      </c>
      <c r="Z88" s="83">
        <f t="shared" si="85"/>
        <v>7</v>
      </c>
      <c r="AA88" s="83">
        <f t="shared" si="85"/>
        <v>4</v>
      </c>
      <c r="AB88" s="83">
        <f t="shared" si="85"/>
        <v>1</v>
      </c>
      <c r="AC88" s="83">
        <f t="shared" si="85"/>
        <v>5</v>
      </c>
      <c r="AD88" s="83" t="str">
        <f t="shared" si="85"/>
        <v>X</v>
      </c>
      <c r="AE88" s="83" t="str">
        <f t="shared" si="85"/>
        <v/>
      </c>
      <c r="AF88" s="83" t="str">
        <f t="shared" ref="AF88:AU88" si="86">IF(ISNUMBER(AF83),AF83,IF(AND(AF83="X",$T$80="Ja"),"X",""))</f>
        <v/>
      </c>
      <c r="AG88" s="83" t="str">
        <f t="shared" si="86"/>
        <v/>
      </c>
      <c r="AH88" s="83" t="str">
        <f t="shared" si="86"/>
        <v/>
      </c>
      <c r="AI88" s="83" t="str">
        <f t="shared" si="86"/>
        <v/>
      </c>
      <c r="AJ88" s="83" t="str">
        <f t="shared" si="86"/>
        <v/>
      </c>
      <c r="AK88" s="83" t="str">
        <f t="shared" si="86"/>
        <v/>
      </c>
      <c r="AL88" s="83" t="str">
        <f t="shared" si="86"/>
        <v/>
      </c>
      <c r="AM88" s="83" t="str">
        <f t="shared" si="86"/>
        <v/>
      </c>
      <c r="AN88" s="83" t="str">
        <f t="shared" si="86"/>
        <v/>
      </c>
      <c r="AO88" s="83" t="str">
        <f t="shared" si="86"/>
        <v/>
      </c>
      <c r="AP88" s="83" t="str">
        <f t="shared" si="86"/>
        <v/>
      </c>
      <c r="AQ88" s="83" t="str">
        <f t="shared" si="86"/>
        <v/>
      </c>
      <c r="AR88" s="83" t="str">
        <f t="shared" si="86"/>
        <v/>
      </c>
      <c r="AS88" s="83" t="str">
        <f t="shared" si="86"/>
        <v/>
      </c>
      <c r="AT88" s="83" t="str">
        <f t="shared" si="86"/>
        <v/>
      </c>
      <c r="AU88" s="83" t="str">
        <f t="shared" si="86"/>
        <v/>
      </c>
      <c r="AV88" s="83" t="str">
        <f t="shared" ref="AV88:AW88" si="87">IF(ISNUMBER(AV83),AV83,IF(AND(AV83="X",$T$80="Ja"),"X",""))</f>
        <v/>
      </c>
      <c r="AW88" s="83" t="str">
        <f t="shared" si="87"/>
        <v/>
      </c>
    </row>
    <row r="89" spans="1:97" x14ac:dyDescent="0.2">
      <c r="P89" s="83" t="str">
        <f t="shared" ref="P89:AU89" si="88">IF(ISNUMBER(P84),P84,IF(AND(P84="X",$T$80="Ja"),"X",""))</f>
        <v/>
      </c>
      <c r="Q89" s="83" t="str">
        <f t="shared" si="88"/>
        <v/>
      </c>
      <c r="R89" s="83" t="str">
        <f t="shared" si="88"/>
        <v/>
      </c>
      <c r="S89" s="83" t="str">
        <f t="shared" si="88"/>
        <v/>
      </c>
      <c r="T89" s="83" t="str">
        <f t="shared" si="88"/>
        <v/>
      </c>
      <c r="U89" s="83" t="str">
        <f t="shared" si="88"/>
        <v/>
      </c>
      <c r="V89" s="83" t="str">
        <f t="shared" si="88"/>
        <v/>
      </c>
      <c r="W89" s="83" t="str">
        <f t="shared" si="88"/>
        <v/>
      </c>
      <c r="X89" s="83" t="str">
        <f t="shared" si="88"/>
        <v/>
      </c>
      <c r="Y89" s="83" t="str">
        <f t="shared" si="88"/>
        <v/>
      </c>
      <c r="Z89" s="83" t="str">
        <f t="shared" si="88"/>
        <v/>
      </c>
      <c r="AA89" s="83" t="str">
        <f t="shared" si="88"/>
        <v/>
      </c>
      <c r="AB89" s="83" t="str">
        <f t="shared" si="88"/>
        <v/>
      </c>
      <c r="AC89" s="83" t="str">
        <f t="shared" si="88"/>
        <v/>
      </c>
      <c r="AD89" s="83" t="str">
        <f t="shared" si="88"/>
        <v/>
      </c>
      <c r="AE89" s="83" t="str">
        <f t="shared" si="88"/>
        <v/>
      </c>
      <c r="AF89" s="83" t="str">
        <f t="shared" si="88"/>
        <v/>
      </c>
      <c r="AG89" s="83" t="str">
        <f t="shared" si="88"/>
        <v/>
      </c>
      <c r="AH89" s="83" t="str">
        <f t="shared" si="88"/>
        <v/>
      </c>
      <c r="AI89" s="83" t="str">
        <f t="shared" si="88"/>
        <v/>
      </c>
      <c r="AJ89" s="83" t="str">
        <f t="shared" si="88"/>
        <v/>
      </c>
      <c r="AK89" s="83" t="str">
        <f t="shared" si="88"/>
        <v/>
      </c>
      <c r="AL89" s="83" t="str">
        <f t="shared" si="88"/>
        <v/>
      </c>
      <c r="AM89" s="83" t="str">
        <f t="shared" si="88"/>
        <v/>
      </c>
      <c r="AN89" s="83" t="str">
        <f t="shared" si="88"/>
        <v/>
      </c>
      <c r="AO89" s="83" t="str">
        <f t="shared" si="88"/>
        <v/>
      </c>
      <c r="AP89" s="83" t="str">
        <f t="shared" si="88"/>
        <v/>
      </c>
      <c r="AQ89" s="83" t="str">
        <f t="shared" si="88"/>
        <v/>
      </c>
      <c r="AR89" s="83" t="str">
        <f t="shared" si="88"/>
        <v/>
      </c>
      <c r="AS89" s="83" t="str">
        <f t="shared" si="88"/>
        <v/>
      </c>
      <c r="AT89" s="83" t="str">
        <f t="shared" si="88"/>
        <v/>
      </c>
      <c r="AU89" s="83" t="str">
        <f t="shared" si="88"/>
        <v/>
      </c>
      <c r="AV89" s="83" t="str">
        <f t="shared" ref="AV89:AW89" si="89">IF(ISNUMBER(AV84),AV84,IF(AND(AV84="X",$T$80="Ja"),"X",""))</f>
        <v/>
      </c>
      <c r="AW89" s="83" t="str">
        <f t="shared" si="89"/>
        <v/>
      </c>
    </row>
    <row r="94" spans="1:97" x14ac:dyDescent="0.2">
      <c r="N94" s="11" t="s">
        <v>728</v>
      </c>
      <c r="Q94" s="7">
        <f>PM!AG17</f>
        <v>1</v>
      </c>
    </row>
    <row r="95" spans="1:97" x14ac:dyDescent="0.2">
      <c r="N95" s="11" t="s">
        <v>729</v>
      </c>
      <c r="O95" s="7" t="s">
        <v>393</v>
      </c>
      <c r="Q95" s="7">
        <f>VLOOKUP(N95,A$2:D$69,4)</f>
        <v>4</v>
      </c>
    </row>
    <row r="96" spans="1:97" x14ac:dyDescent="0.2">
      <c r="N96" s="11" t="s">
        <v>730</v>
      </c>
      <c r="O96" s="7" t="s">
        <v>394</v>
      </c>
      <c r="Q96" s="7">
        <f>VLOOKUP(N96,A$2:D$69,4)</f>
        <v>13</v>
      </c>
    </row>
    <row r="97" spans="14:17" x14ac:dyDescent="0.2">
      <c r="N97" s="11" t="s">
        <v>731</v>
      </c>
      <c r="O97" s="7" t="s">
        <v>395</v>
      </c>
      <c r="Q97" s="7">
        <f>VLOOKUP(N97,A$2:D$69,4)</f>
        <v>15</v>
      </c>
    </row>
    <row r="98" spans="14:17" x14ac:dyDescent="0.2">
      <c r="N98" s="11" t="s">
        <v>732</v>
      </c>
      <c r="O98" s="7" t="s">
        <v>396</v>
      </c>
      <c r="Q98" s="7">
        <f>VLOOKUP(N98,A$2:D$69,4)</f>
        <v>24</v>
      </c>
    </row>
  </sheetData>
  <sheetProtection password="998F" sheet="1" objects="1" scenarios="1" selectLockedCells="1"/>
  <phoneticPr fontId="29" type="noConversion"/>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AR200"/>
  <sheetViews>
    <sheetView tabSelected="1" zoomScaleNormal="100" workbookViewId="0">
      <selection activeCell="H119" sqref="H119:Q119"/>
    </sheetView>
  </sheetViews>
  <sheetFormatPr defaultRowHeight="12.75" x14ac:dyDescent="0.2"/>
  <cols>
    <col min="1" max="1" width="3" style="8" customWidth="1"/>
    <col min="2" max="10" width="2.5703125" style="8" customWidth="1"/>
    <col min="11" max="12" width="2.5703125" style="9" customWidth="1"/>
    <col min="13" max="13" width="2.5703125" style="8" customWidth="1"/>
    <col min="14" max="36" width="2.7109375" style="8" customWidth="1"/>
    <col min="37" max="37" width="11" style="8" hidden="1" customWidth="1"/>
    <col min="38" max="38" width="11.85546875" style="8" hidden="1" customWidth="1"/>
    <col min="39" max="40" width="9.140625" style="8" hidden="1" customWidth="1"/>
    <col min="41" max="44" width="9.140625" style="8" customWidth="1"/>
    <col min="45" max="16384" width="9.140625" style="3"/>
  </cols>
  <sheetData>
    <row r="1" spans="1:44" s="1" customFormat="1" ht="18" x14ac:dyDescent="0.25">
      <c r="A1" s="67"/>
      <c r="B1" s="68"/>
      <c r="C1" s="68"/>
      <c r="D1" s="68"/>
      <c r="E1" s="68"/>
      <c r="F1" s="454"/>
      <c r="G1" s="68" t="s">
        <v>26</v>
      </c>
      <c r="H1" s="69"/>
      <c r="I1" s="68"/>
      <c r="J1" s="68"/>
      <c r="K1" s="454"/>
      <c r="L1" s="68"/>
      <c r="M1" s="70"/>
      <c r="N1" s="71" t="s">
        <v>28</v>
      </c>
      <c r="O1" s="939" t="str">
        <f>H86</f>
        <v>HU-1433</v>
      </c>
      <c r="P1" s="939"/>
      <c r="Q1" s="939"/>
      <c r="R1" s="939"/>
      <c r="S1" s="939"/>
      <c r="T1" s="939"/>
      <c r="U1" s="453"/>
      <c r="V1" s="71" t="s">
        <v>30</v>
      </c>
      <c r="W1" s="939" t="str">
        <f>IF(ISBLANK(H94),"",H94)</f>
        <v>M-658-2014</v>
      </c>
      <c r="X1" s="939"/>
      <c r="Y1" s="939"/>
      <c r="Z1" s="939"/>
      <c r="AA1" s="939"/>
      <c r="AB1" s="939"/>
      <c r="AC1" s="939"/>
      <c r="AD1" s="68"/>
      <c r="AE1" s="468"/>
      <c r="AF1" s="71" t="s">
        <v>29</v>
      </c>
      <c r="AG1" s="943" t="str">
        <f>H91</f>
        <v>HUG066</v>
      </c>
      <c r="AH1" s="943"/>
      <c r="AI1" s="943"/>
      <c r="AJ1" s="945"/>
      <c r="AK1" s="307"/>
      <c r="AL1" s="307"/>
      <c r="AM1" s="307"/>
      <c r="AN1" s="307"/>
      <c r="AO1" s="307"/>
      <c r="AP1" s="307"/>
      <c r="AQ1" s="307"/>
      <c r="AR1" s="307"/>
    </row>
    <row r="2" spans="1:44" ht="15.75" x14ac:dyDescent="0.25">
      <c r="A2" s="63"/>
      <c r="B2" s="64"/>
      <c r="C2" s="64"/>
      <c r="D2" s="64"/>
      <c r="E2" s="64"/>
      <c r="F2" s="64"/>
      <c r="G2" s="72" t="s">
        <v>0</v>
      </c>
      <c r="H2" s="72"/>
      <c r="I2" s="72"/>
      <c r="J2" s="72"/>
      <c r="K2" s="73"/>
      <c r="L2" s="72" t="s">
        <v>1</v>
      </c>
      <c r="M2" s="72"/>
      <c r="N2" s="72"/>
      <c r="O2" s="72"/>
      <c r="P2" s="72"/>
      <c r="Q2" s="73"/>
      <c r="R2" s="73"/>
      <c r="S2" s="64"/>
      <c r="T2" s="73"/>
      <c r="U2" s="72"/>
      <c r="V2" s="72"/>
      <c r="W2" s="72"/>
      <c r="X2" s="72"/>
      <c r="Y2" s="74" t="s">
        <v>27</v>
      </c>
      <c r="Z2" s="75" t="str">
        <f>IF(PM!O1="GEP-försök","X","")</f>
        <v>X</v>
      </c>
      <c r="AA2" s="72" t="s">
        <v>2</v>
      </c>
      <c r="AB2" s="72"/>
      <c r="AC2" s="75" t="str">
        <f>IF(Z2="X","","X")</f>
        <v/>
      </c>
      <c r="AD2" s="72" t="s">
        <v>3</v>
      </c>
      <c r="AE2" s="64"/>
      <c r="AF2" s="64"/>
      <c r="AG2" s="956" t="str">
        <f>PM!AE2</f>
        <v>2013/14</v>
      </c>
      <c r="AH2" s="956"/>
      <c r="AI2" s="956"/>
      <c r="AJ2" s="957"/>
    </row>
    <row r="3" spans="1:44" x14ac:dyDescent="0.2">
      <c r="A3" s="63"/>
      <c r="B3" s="64"/>
      <c r="C3" s="64"/>
      <c r="D3" s="64"/>
      <c r="E3" s="64"/>
      <c r="F3" s="64"/>
      <c r="G3" s="64" t="s">
        <v>4</v>
      </c>
      <c r="H3" s="64"/>
      <c r="I3" s="64"/>
      <c r="J3" s="64"/>
      <c r="K3" s="64"/>
      <c r="L3" s="64" t="str">
        <f>H87</f>
        <v>Bekämpning av bladfläcksjuka i korn</v>
      </c>
      <c r="M3" s="64"/>
      <c r="N3" s="64"/>
      <c r="O3" s="64"/>
      <c r="P3" s="64"/>
      <c r="Q3" s="64"/>
      <c r="R3" s="64"/>
      <c r="S3" s="64"/>
      <c r="T3" s="64"/>
      <c r="U3" s="64"/>
      <c r="V3" s="64"/>
      <c r="W3" s="64"/>
      <c r="X3" s="64"/>
      <c r="Y3" s="64"/>
      <c r="Z3" s="64"/>
      <c r="AA3" s="64"/>
      <c r="AB3" s="64"/>
      <c r="AC3" s="64"/>
      <c r="AD3" s="64"/>
      <c r="AE3" s="64"/>
      <c r="AF3" s="64"/>
      <c r="AG3" s="64"/>
      <c r="AH3" s="64"/>
      <c r="AI3" s="64"/>
      <c r="AJ3" s="475" t="str">
        <f>PM!L10</f>
        <v>SJV</v>
      </c>
    </row>
    <row r="4" spans="1:44" x14ac:dyDescent="0.2">
      <c r="A4" s="63"/>
      <c r="B4" s="64"/>
      <c r="C4" s="64"/>
      <c r="D4" s="64"/>
      <c r="E4" s="64"/>
      <c r="F4" s="64"/>
      <c r="G4" s="64" t="s">
        <v>5</v>
      </c>
      <c r="H4" s="76"/>
      <c r="I4" s="64"/>
      <c r="J4" s="64"/>
      <c r="K4" s="64"/>
      <c r="L4" s="941" t="str">
        <f>IF(ISBLANK(H95),"",H95)</f>
        <v>Jeppa Olanders</v>
      </c>
      <c r="M4" s="941"/>
      <c r="N4" s="941"/>
      <c r="O4" s="941"/>
      <c r="P4" s="941"/>
      <c r="Q4" s="941"/>
      <c r="R4" s="941"/>
      <c r="S4" s="941"/>
      <c r="T4" s="941"/>
      <c r="U4" s="941"/>
      <c r="V4" s="941"/>
      <c r="W4" s="941"/>
      <c r="X4" s="941"/>
      <c r="Y4" s="941"/>
      <c r="Z4" s="941"/>
      <c r="AA4" s="941"/>
      <c r="AB4" s="941"/>
      <c r="AD4" s="64"/>
      <c r="AE4" s="64"/>
      <c r="AF4" s="64"/>
      <c r="AG4" s="473"/>
      <c r="AH4" s="473"/>
      <c r="AI4" s="473"/>
      <c r="AJ4" s="474" t="str">
        <f>VLOOKUP(AG1,PM!G14:H15,2,0)</f>
        <v>14339-3</v>
      </c>
    </row>
    <row r="5" spans="1:44" x14ac:dyDescent="0.2">
      <c r="A5" s="63"/>
      <c r="B5" s="64"/>
      <c r="C5" s="64"/>
      <c r="D5" s="64"/>
      <c r="E5" s="64"/>
      <c r="F5" s="64"/>
      <c r="G5" s="285" t="s">
        <v>36</v>
      </c>
      <c r="H5" s="64"/>
      <c r="I5" s="64"/>
      <c r="J5" s="64"/>
      <c r="K5" s="64"/>
      <c r="L5" s="941" t="str">
        <f>IF(ISBLANK(H96),"",H96)</f>
        <v>Hemmesdyngevägen158</v>
      </c>
      <c r="M5" s="941"/>
      <c r="N5" s="941"/>
      <c r="O5" s="941"/>
      <c r="P5" s="941"/>
      <c r="Q5" s="941"/>
      <c r="R5" s="941"/>
      <c r="S5" s="941"/>
      <c r="T5" s="941"/>
      <c r="U5" s="941"/>
      <c r="V5" s="941"/>
      <c r="W5" s="941"/>
      <c r="X5" s="941"/>
      <c r="Y5" s="941"/>
      <c r="Z5" s="941"/>
      <c r="AA5" s="941"/>
      <c r="AB5" s="941"/>
      <c r="AC5" s="64"/>
      <c r="AD5" s="64"/>
      <c r="AG5" s="64"/>
      <c r="AH5" s="484" t="s">
        <v>258</v>
      </c>
      <c r="AI5" s="948">
        <f>PM!AF6</f>
        <v>2014</v>
      </c>
      <c r="AJ5" s="949"/>
    </row>
    <row r="6" spans="1:44" x14ac:dyDescent="0.2">
      <c r="A6" s="916">
        <f>MAX(A9:A25)*4</f>
        <v>28</v>
      </c>
      <c r="B6" s="917"/>
      <c r="C6" s="918" t="s">
        <v>47</v>
      </c>
      <c r="D6" s="919"/>
      <c r="E6" s="77"/>
      <c r="F6" s="77"/>
      <c r="G6" s="77" t="s">
        <v>38</v>
      </c>
      <c r="H6" s="77"/>
      <c r="I6" s="77"/>
      <c r="J6" s="77"/>
      <c r="K6" s="78"/>
      <c r="L6" s="942" t="str">
        <f>IF(ISBLANK(H97),"",H97)</f>
        <v>231 99</v>
      </c>
      <c r="M6" s="942"/>
      <c r="N6" s="942"/>
      <c r="O6" s="932" t="str">
        <f>IF(ISBLANK(H98),"",H98)</f>
        <v>Klagstorp</v>
      </c>
      <c r="P6" s="932"/>
      <c r="Q6" s="932"/>
      <c r="R6" s="932"/>
      <c r="S6" s="932"/>
      <c r="T6" s="932"/>
      <c r="U6" s="932"/>
      <c r="V6" s="932"/>
      <c r="W6" s="455"/>
      <c r="X6" s="286" t="s">
        <v>921</v>
      </c>
      <c r="Y6" s="299" t="str">
        <f>IF(ISBLANK(H99),"",H99)</f>
        <v>0709-229442</v>
      </c>
      <c r="Z6" s="455"/>
      <c r="AA6" s="455"/>
      <c r="AB6" s="455"/>
      <c r="AC6" s="102"/>
      <c r="AD6" s="102"/>
      <c r="AE6" s="299"/>
      <c r="AF6" s="299"/>
      <c r="AG6" s="299"/>
      <c r="AH6" s="299"/>
      <c r="AI6" s="299"/>
      <c r="AJ6" s="472" t="str">
        <f>H90</f>
        <v>HS-Malmöhus</v>
      </c>
    </row>
    <row r="7" spans="1:44" ht="5.25" customHeight="1" x14ac:dyDescent="0.2">
      <c r="A7" s="262"/>
      <c r="B7" s="263"/>
      <c r="C7" s="263"/>
      <c r="D7" s="263"/>
      <c r="E7" s="263"/>
      <c r="F7" s="263"/>
      <c r="G7" s="263"/>
      <c r="H7" s="263"/>
      <c r="I7" s="263"/>
      <c r="J7" s="263"/>
      <c r="K7" s="263"/>
      <c r="L7" s="263"/>
      <c r="M7" s="264"/>
      <c r="N7" s="264"/>
      <c r="O7" s="264"/>
      <c r="P7" s="264"/>
      <c r="Q7" s="264"/>
      <c r="R7" s="264"/>
      <c r="S7" s="264"/>
      <c r="T7" s="264"/>
      <c r="U7" s="263"/>
      <c r="V7" s="263"/>
      <c r="W7" s="264"/>
      <c r="X7" s="263"/>
      <c r="Y7" s="263"/>
      <c r="Z7" s="264"/>
      <c r="AA7" s="264"/>
      <c r="AB7" s="264"/>
      <c r="AC7" s="263"/>
      <c r="AD7" s="263"/>
      <c r="AE7" s="264"/>
      <c r="AF7" s="264"/>
      <c r="AG7" s="263"/>
      <c r="AH7" s="264"/>
      <c r="AI7" s="264"/>
      <c r="AJ7" s="439"/>
    </row>
    <row r="8" spans="1:44" x14ac:dyDescent="0.2">
      <c r="A8" s="257" t="s">
        <v>750</v>
      </c>
      <c r="B8" s="258"/>
      <c r="C8" s="258" t="s">
        <v>1111</v>
      </c>
      <c r="D8" s="107"/>
      <c r="E8" s="259"/>
      <c r="F8" s="260"/>
      <c r="G8" s="97"/>
      <c r="H8" s="97"/>
      <c r="I8" s="97"/>
      <c r="J8" s="261" t="str">
        <f>PM!C19</f>
        <v>T1=</v>
      </c>
      <c r="K8" s="547" t="str">
        <f>PM!D19</f>
        <v>BBCH 37-39</v>
      </c>
      <c r="L8" s="97"/>
      <c r="M8" s="97"/>
      <c r="N8" s="97"/>
      <c r="O8" s="261"/>
      <c r="P8" s="107"/>
      <c r="Q8" s="311"/>
      <c r="R8" s="97"/>
      <c r="S8" s="97"/>
      <c r="U8" s="97"/>
      <c r="V8" s="108"/>
      <c r="W8" s="97"/>
      <c r="X8" s="97"/>
      <c r="Y8" s="261" t="str">
        <f>PM!Y19</f>
        <v/>
      </c>
      <c r="Z8" s="107" t="str">
        <f>IF(ISBLANK(PM!Z19),"",PM!Z19)</f>
        <v/>
      </c>
      <c r="AA8" s="201"/>
      <c r="AB8" s="201"/>
      <c r="AC8" s="261"/>
      <c r="AD8" s="107"/>
      <c r="AE8" s="201"/>
      <c r="AF8" s="201"/>
      <c r="AG8" s="97"/>
      <c r="AH8" s="97"/>
      <c r="AI8" s="109"/>
      <c r="AJ8" s="449"/>
    </row>
    <row r="9" spans="1:44" s="106" customFormat="1" ht="12" x14ac:dyDescent="0.2">
      <c r="A9" s="545">
        <f>IF(ISBLANK(PM!A21),"",PM!A21)</f>
        <v>1</v>
      </c>
      <c r="B9" s="546" t="str">
        <f>IF(ISBLANK(PM!B21),"",PM!B21)</f>
        <v>Obehandlat</v>
      </c>
      <c r="C9" s="109"/>
      <c r="D9" s="109"/>
      <c r="E9" s="109"/>
      <c r="F9" s="109"/>
      <c r="G9" s="109"/>
      <c r="H9" s="109"/>
      <c r="I9" s="108"/>
      <c r="J9" s="108"/>
      <c r="K9" s="108" t="str">
        <f>PM!K21</f>
        <v>-</v>
      </c>
      <c r="L9" s="108"/>
      <c r="M9" s="108"/>
      <c r="N9" s="108"/>
      <c r="O9" s="107" t="str">
        <f>IF(ISBLANK(PM!O21),"",PM!O21)</f>
        <v/>
      </c>
      <c r="P9" s="108"/>
      <c r="Q9" s="108"/>
      <c r="R9" s="107"/>
      <c r="S9" s="109"/>
      <c r="T9" s="108"/>
      <c r="U9" s="108"/>
      <c r="V9" s="108"/>
      <c r="W9" s="108"/>
      <c r="X9" s="108"/>
      <c r="Y9" s="107" t="str">
        <f>IF(ISBLANK(PM!Y21),"",PM!Y21)</f>
        <v/>
      </c>
      <c r="Z9" s="108"/>
      <c r="AA9" s="450"/>
      <c r="AB9" s="450"/>
      <c r="AC9" s="107"/>
      <c r="AD9" s="109"/>
      <c r="AE9" s="450"/>
      <c r="AF9" s="450"/>
      <c r="AG9" s="108"/>
      <c r="AH9" s="108"/>
      <c r="AI9" s="109"/>
      <c r="AJ9" s="451"/>
      <c r="AK9" s="280"/>
      <c r="AL9" s="280"/>
      <c r="AM9" s="280"/>
      <c r="AN9" s="280"/>
      <c r="AO9" s="280"/>
      <c r="AP9" s="280"/>
      <c r="AQ9" s="280"/>
      <c r="AR9" s="280"/>
    </row>
    <row r="10" spans="1:44" s="106" customFormat="1" ht="12.75" customHeight="1" x14ac:dyDescent="0.2">
      <c r="A10" s="545">
        <f>IF(ISBLANK(PM!A22),"",PM!A22)</f>
        <v>2</v>
      </c>
      <c r="B10" s="546" t="str">
        <f>IF(ISBLANK(PM!B22),"",PM!B22)</f>
        <v>Imtrex + Comet</v>
      </c>
      <c r="C10" s="109"/>
      <c r="D10" s="109"/>
      <c r="E10" s="109"/>
      <c r="F10" s="109"/>
      <c r="G10" s="213"/>
      <c r="H10" s="213"/>
      <c r="I10" s="108"/>
      <c r="J10" s="108"/>
      <c r="K10" s="108" t="str">
        <f>PM!K22</f>
        <v>1.0+0.5</v>
      </c>
      <c r="L10" s="108"/>
      <c r="M10" s="108"/>
      <c r="N10" s="108"/>
      <c r="O10" s="107" t="str">
        <f>IF(ISBLANK(PM!O22),"",PM!O22)</f>
        <v/>
      </c>
      <c r="P10" s="108"/>
      <c r="Q10" s="108"/>
      <c r="R10" s="107"/>
      <c r="S10" s="107"/>
      <c r="T10" s="108"/>
      <c r="U10" s="108"/>
      <c r="V10" s="107"/>
      <c r="W10" s="108"/>
      <c r="X10" s="108"/>
      <c r="Y10" s="107" t="str">
        <f>IF(ISBLANK(PM!Y22),"",PM!Y22)</f>
        <v/>
      </c>
      <c r="Z10" s="108"/>
      <c r="AA10" s="107"/>
      <c r="AB10" s="108"/>
      <c r="AC10" s="107"/>
      <c r="AD10" s="107"/>
      <c r="AE10" s="107"/>
      <c r="AF10" s="108"/>
      <c r="AG10" s="108"/>
      <c r="AH10" s="108"/>
      <c r="AI10" s="109"/>
      <c r="AJ10" s="451"/>
      <c r="AK10" s="280"/>
      <c r="AL10" s="280"/>
      <c r="AM10" s="280"/>
      <c r="AN10" s="280"/>
      <c r="AO10" s="280"/>
      <c r="AP10" s="280"/>
      <c r="AQ10" s="280"/>
      <c r="AR10" s="280"/>
    </row>
    <row r="11" spans="1:44" s="106" customFormat="1" ht="12" x14ac:dyDescent="0.2">
      <c r="A11" s="545">
        <f>IF(ISBLANK(PM!A23),"",PM!A23)</f>
        <v>3</v>
      </c>
      <c r="B11" s="546" t="str">
        <f>IF(ISBLANK(PM!B23),"",PM!B23)</f>
        <v>Imtrex</v>
      </c>
      <c r="C11" s="109"/>
      <c r="D11" s="109"/>
      <c r="E11" s="109"/>
      <c r="F11" s="109"/>
      <c r="G11" s="213"/>
      <c r="H11" s="213"/>
      <c r="I11" s="108"/>
      <c r="J11" s="108"/>
      <c r="K11" s="108" t="str">
        <f>PM!K23</f>
        <v>1.0</v>
      </c>
      <c r="L11" s="108"/>
      <c r="M11" s="108"/>
      <c r="N11" s="108"/>
      <c r="O11" s="107" t="str">
        <f>IF(ISBLANK(PM!O23),"",PM!O23)</f>
        <v/>
      </c>
      <c r="P11" s="108"/>
      <c r="Q11" s="108"/>
      <c r="R11" s="107"/>
      <c r="S11" s="107"/>
      <c r="T11" s="108"/>
      <c r="U11" s="108"/>
      <c r="V11" s="107"/>
      <c r="W11" s="108"/>
      <c r="X11" s="108"/>
      <c r="Y11" s="107" t="str">
        <f>IF(ISBLANK(PM!Y23),"",PM!Y23)</f>
        <v/>
      </c>
      <c r="Z11" s="108"/>
      <c r="AA11" s="107"/>
      <c r="AB11" s="108"/>
      <c r="AC11" s="107"/>
      <c r="AD11" s="107"/>
      <c r="AE11" s="107"/>
      <c r="AF11" s="108"/>
      <c r="AG11" s="108"/>
      <c r="AH11" s="108"/>
      <c r="AI11" s="109"/>
      <c r="AJ11" s="451"/>
      <c r="AK11" s="280"/>
      <c r="AL11" s="280"/>
      <c r="AM11" s="280"/>
      <c r="AN11" s="280"/>
      <c r="AO11" s="280"/>
      <c r="AP11" s="280"/>
      <c r="AQ11" s="280"/>
      <c r="AR11" s="280"/>
    </row>
    <row r="12" spans="1:44" s="106" customFormat="1" ht="12" x14ac:dyDescent="0.2">
      <c r="A12" s="545">
        <f>IF(ISBLANK(PM!A24),"",PM!A24)</f>
        <v>4</v>
      </c>
      <c r="B12" s="546" t="str">
        <f>IF(ISBLANK(PM!B24),"",PM!B24)</f>
        <v xml:space="preserve">Proline EC250 + Comet </v>
      </c>
      <c r="C12" s="109"/>
      <c r="D12" s="109"/>
      <c r="E12" s="109"/>
      <c r="F12" s="109"/>
      <c r="G12" s="213"/>
      <c r="H12" s="213"/>
      <c r="I12" s="108"/>
      <c r="J12" s="108"/>
      <c r="K12" s="108" t="str">
        <f>PM!K24</f>
        <v>0.4+0.5</v>
      </c>
      <c r="L12" s="108"/>
      <c r="M12" s="108"/>
      <c r="N12" s="108"/>
      <c r="O12" s="107" t="str">
        <f>IF(ISBLANK(PM!O24),"",PM!O24)</f>
        <v/>
      </c>
      <c r="P12" s="108"/>
      <c r="Q12" s="108"/>
      <c r="R12" s="107"/>
      <c r="S12" s="107"/>
      <c r="T12" s="108"/>
      <c r="U12" s="108"/>
      <c r="V12" s="107"/>
      <c r="W12" s="108"/>
      <c r="X12" s="108"/>
      <c r="Y12" s="107" t="str">
        <f>IF(ISBLANK(PM!Y24),"",PM!Y24)</f>
        <v/>
      </c>
      <c r="Z12" s="108"/>
      <c r="AA12" s="107"/>
      <c r="AB12" s="108"/>
      <c r="AC12" s="107"/>
      <c r="AD12" s="107"/>
      <c r="AE12" s="107"/>
      <c r="AF12" s="108"/>
      <c r="AG12" s="108"/>
      <c r="AH12" s="108"/>
      <c r="AI12" s="109"/>
      <c r="AJ12" s="451"/>
      <c r="AK12" s="280"/>
      <c r="AL12" s="280"/>
      <c r="AM12" s="280"/>
      <c r="AN12" s="280"/>
      <c r="AO12" s="280"/>
      <c r="AP12" s="280"/>
      <c r="AQ12" s="280"/>
      <c r="AR12" s="280"/>
    </row>
    <row r="13" spans="1:44" s="106" customFormat="1" ht="12" x14ac:dyDescent="0.2">
      <c r="A13" s="545">
        <f>IF(ISBLANK(PM!A25),"",PM!A25)</f>
        <v>5</v>
      </c>
      <c r="B13" s="546" t="str">
        <f>IF(ISBLANK(PM!B25),"",PM!B25)</f>
        <v>Siltra Xpro</v>
      </c>
      <c r="C13" s="109"/>
      <c r="D13" s="109"/>
      <c r="E13" s="109"/>
      <c r="F13" s="109"/>
      <c r="G13" s="213"/>
      <c r="H13" s="213"/>
      <c r="I13" s="108"/>
      <c r="J13" s="108"/>
      <c r="K13" s="108" t="str">
        <f>PM!K25</f>
        <v>0.5</v>
      </c>
      <c r="L13" s="108"/>
      <c r="M13" s="108"/>
      <c r="N13" s="108"/>
      <c r="O13" s="107" t="str">
        <f>IF(ISBLANK(PM!O25),"",PM!O25)</f>
        <v/>
      </c>
      <c r="P13" s="108"/>
      <c r="Q13" s="108"/>
      <c r="R13" s="107"/>
      <c r="S13" s="107"/>
      <c r="T13" s="108"/>
      <c r="U13" s="108"/>
      <c r="V13" s="107"/>
      <c r="W13" s="108"/>
      <c r="X13" s="108"/>
      <c r="Y13" s="107" t="str">
        <f>IF(ISBLANK(PM!Y25),"",PM!Y25)</f>
        <v/>
      </c>
      <c r="Z13" s="108"/>
      <c r="AA13" s="107"/>
      <c r="AB13" s="108"/>
      <c r="AC13" s="107"/>
      <c r="AD13" s="107"/>
      <c r="AE13" s="107"/>
      <c r="AF13" s="108"/>
      <c r="AG13" s="108"/>
      <c r="AH13" s="108"/>
      <c r="AI13" s="109"/>
      <c r="AJ13" s="451"/>
      <c r="AK13" s="280"/>
      <c r="AL13" s="280"/>
      <c r="AM13" s="280"/>
      <c r="AN13" s="280"/>
      <c r="AO13" s="280"/>
      <c r="AP13" s="280"/>
      <c r="AQ13" s="280"/>
      <c r="AR13" s="280"/>
    </row>
    <row r="14" spans="1:44" s="106" customFormat="1" ht="12" x14ac:dyDescent="0.2">
      <c r="A14" s="545">
        <f>IF(ISBLANK(PM!A26),"",PM!A26)</f>
        <v>6</v>
      </c>
      <c r="B14" s="546" t="str">
        <f>IF(ISBLANK(PM!B26),"",PM!B26)</f>
        <v>Siltra Xpro + Comet</v>
      </c>
      <c r="C14" s="109"/>
      <c r="D14" s="109"/>
      <c r="E14" s="109"/>
      <c r="F14" s="109"/>
      <c r="G14" s="213"/>
      <c r="H14" s="213"/>
      <c r="I14" s="108"/>
      <c r="J14" s="108"/>
      <c r="K14" s="108" t="str">
        <f>PM!K26</f>
        <v>0.5+0.5</v>
      </c>
      <c r="L14" s="108"/>
      <c r="M14" s="108"/>
      <c r="N14" s="108"/>
      <c r="O14" s="107" t="str">
        <f>IF(ISBLANK(PM!O26),"",PM!O26)</f>
        <v/>
      </c>
      <c r="P14" s="108"/>
      <c r="Q14" s="108"/>
      <c r="R14" s="107"/>
      <c r="S14" s="107"/>
      <c r="T14" s="108"/>
      <c r="U14" s="108"/>
      <c r="V14" s="107"/>
      <c r="W14" s="108"/>
      <c r="X14" s="108"/>
      <c r="Y14" s="107" t="str">
        <f>IF(ISBLANK(PM!Y26),"",PM!Y26)</f>
        <v/>
      </c>
      <c r="Z14" s="108"/>
      <c r="AA14" s="107"/>
      <c r="AB14" s="108"/>
      <c r="AC14" s="107"/>
      <c r="AD14" s="107"/>
      <c r="AE14" s="107"/>
      <c r="AF14" s="108"/>
      <c r="AG14" s="108"/>
      <c r="AH14" s="108"/>
      <c r="AI14" s="109"/>
      <c r="AJ14" s="451"/>
      <c r="AK14" s="280"/>
      <c r="AL14" s="280"/>
      <c r="AM14" s="280"/>
      <c r="AN14" s="280"/>
      <c r="AO14" s="280"/>
      <c r="AP14" s="280"/>
      <c r="AQ14" s="280"/>
      <c r="AR14" s="280"/>
    </row>
    <row r="15" spans="1:44" s="106" customFormat="1" ht="12" x14ac:dyDescent="0.2">
      <c r="A15" s="545">
        <f>IF(ISBLANK(PM!A27),"",PM!A27)</f>
        <v>7</v>
      </c>
      <c r="B15" s="546" t="str">
        <f>IF(ISBLANK(PM!B27),"",PM!B27)</f>
        <v>Proline EC250</v>
      </c>
      <c r="C15" s="109"/>
      <c r="D15" s="109"/>
      <c r="E15" s="109"/>
      <c r="F15" s="109"/>
      <c r="G15" s="213"/>
      <c r="H15" s="213"/>
      <c r="I15" s="108"/>
      <c r="J15" s="108"/>
      <c r="K15" s="108" t="str">
        <f>PM!K27</f>
        <v>0.4</v>
      </c>
      <c r="L15" s="108"/>
      <c r="M15" s="108"/>
      <c r="N15" s="108"/>
      <c r="O15" s="107" t="str">
        <f>IF(ISBLANK(PM!O27),"",PM!O27)</f>
        <v/>
      </c>
      <c r="P15" s="108"/>
      <c r="Q15" s="108"/>
      <c r="R15" s="107"/>
      <c r="S15" s="109"/>
      <c r="T15" s="108"/>
      <c r="U15" s="108"/>
      <c r="V15" s="107"/>
      <c r="W15" s="108"/>
      <c r="X15" s="108"/>
      <c r="Y15" s="107" t="str">
        <f>IF(ISBLANK(PM!Y27),"",PM!Y27)</f>
        <v/>
      </c>
      <c r="Z15" s="108"/>
      <c r="AA15" s="107"/>
      <c r="AB15" s="108"/>
      <c r="AC15" s="107"/>
      <c r="AD15" s="107"/>
      <c r="AE15" s="107"/>
      <c r="AF15" s="108"/>
      <c r="AG15" s="108"/>
      <c r="AH15" s="108"/>
      <c r="AI15" s="109"/>
      <c r="AJ15" s="451"/>
      <c r="AK15" s="280"/>
      <c r="AL15" s="280"/>
      <c r="AM15" s="280"/>
      <c r="AN15" s="280"/>
      <c r="AO15" s="280"/>
      <c r="AP15" s="280"/>
      <c r="AQ15" s="280"/>
      <c r="AR15" s="280"/>
    </row>
    <row r="16" spans="1:44" s="106" customFormat="1" ht="12" hidden="1" x14ac:dyDescent="0.2">
      <c r="A16" s="212" t="str">
        <f>IF(ISBLANK(PM!A28),"",PM!A28)</f>
        <v/>
      </c>
      <c r="B16" s="109" t="str">
        <f>IF(ISBLANK(PM!B28),"",PM!B28)</f>
        <v/>
      </c>
      <c r="C16" s="109"/>
      <c r="D16" s="109"/>
      <c r="E16" s="109"/>
      <c r="F16" s="109"/>
      <c r="G16" s="213"/>
      <c r="H16" s="213"/>
      <c r="I16" s="108"/>
      <c r="J16" s="108"/>
      <c r="K16" s="108"/>
      <c r="L16" s="108"/>
      <c r="M16" s="108"/>
      <c r="N16" s="108"/>
      <c r="O16" s="107" t="str">
        <f>IF(ISBLANK(PM!O28),"",PM!O28)</f>
        <v/>
      </c>
      <c r="P16" s="108"/>
      <c r="Q16" s="108"/>
      <c r="R16" s="107"/>
      <c r="S16" s="109"/>
      <c r="T16" s="108"/>
      <c r="U16" s="108"/>
      <c r="V16" s="107"/>
      <c r="W16" s="108"/>
      <c r="X16" s="108"/>
      <c r="Y16" s="107" t="str">
        <f>IF(ISBLANK(PM!Y28),"",PM!Y28)</f>
        <v/>
      </c>
      <c r="Z16" s="108"/>
      <c r="AA16" s="107"/>
      <c r="AB16" s="108"/>
      <c r="AC16" s="107"/>
      <c r="AD16" s="107"/>
      <c r="AE16" s="107"/>
      <c r="AF16" s="108"/>
      <c r="AG16" s="108"/>
      <c r="AH16" s="108"/>
      <c r="AI16" s="109"/>
      <c r="AJ16" s="451"/>
      <c r="AK16" s="280"/>
      <c r="AL16" s="280"/>
      <c r="AM16" s="280"/>
      <c r="AN16" s="280"/>
      <c r="AO16" s="280"/>
      <c r="AP16" s="280"/>
      <c r="AQ16" s="280"/>
      <c r="AR16" s="280"/>
    </row>
    <row r="17" spans="1:44" s="106" customFormat="1" ht="12" hidden="1" x14ac:dyDescent="0.2">
      <c r="A17" s="212" t="str">
        <f>IF(ISBLANK(PM!A29),"",PM!A29)</f>
        <v/>
      </c>
      <c r="B17" s="109" t="str">
        <f>IF(ISBLANK(PM!B29),"",PM!B29)</f>
        <v/>
      </c>
      <c r="C17" s="109"/>
      <c r="D17" s="109"/>
      <c r="E17" s="109"/>
      <c r="F17" s="109"/>
      <c r="G17" s="213"/>
      <c r="H17" s="213"/>
      <c r="I17" s="108"/>
      <c r="J17" s="108"/>
      <c r="K17" s="108"/>
      <c r="L17" s="108"/>
      <c r="M17" s="108"/>
      <c r="N17" s="108"/>
      <c r="O17" s="107" t="str">
        <f>IF(ISBLANK(PM!O29),"",PM!O29)</f>
        <v/>
      </c>
      <c r="P17" s="108"/>
      <c r="Q17" s="108"/>
      <c r="R17" s="107"/>
      <c r="S17" s="109"/>
      <c r="T17" s="108"/>
      <c r="U17" s="108"/>
      <c r="V17" s="107"/>
      <c r="W17" s="108"/>
      <c r="X17" s="108"/>
      <c r="Y17" s="107" t="str">
        <f>IF(ISBLANK(PM!Y29),"",PM!Y29)</f>
        <v/>
      </c>
      <c r="Z17" s="108"/>
      <c r="AA17" s="107"/>
      <c r="AB17" s="108"/>
      <c r="AC17" s="107"/>
      <c r="AD17" s="107"/>
      <c r="AE17" s="107"/>
      <c r="AF17" s="108"/>
      <c r="AG17" s="108"/>
      <c r="AH17" s="108"/>
      <c r="AI17" s="109"/>
      <c r="AJ17" s="451"/>
      <c r="AK17" s="280"/>
      <c r="AL17" s="280"/>
      <c r="AM17" s="280"/>
      <c r="AN17" s="280"/>
      <c r="AO17" s="280"/>
      <c r="AP17" s="280"/>
      <c r="AQ17" s="280"/>
      <c r="AR17" s="280"/>
    </row>
    <row r="18" spans="1:44" s="106" customFormat="1" ht="12" hidden="1" x14ac:dyDescent="0.2">
      <c r="A18" s="212" t="str">
        <f>IF(ISBLANK(PM!A30),"",PM!A30)</f>
        <v/>
      </c>
      <c r="B18" s="109" t="str">
        <f>IF(ISBLANK(PM!B30),"",PM!B30)</f>
        <v/>
      </c>
      <c r="C18" s="109"/>
      <c r="D18" s="109"/>
      <c r="E18" s="109"/>
      <c r="F18" s="109"/>
      <c r="G18" s="213"/>
      <c r="H18" s="213"/>
      <c r="I18" s="108"/>
      <c r="J18" s="108"/>
      <c r="K18" s="108"/>
      <c r="L18" s="108"/>
      <c r="M18" s="108"/>
      <c r="N18" s="108"/>
      <c r="O18" s="107" t="str">
        <f>IF(ISBLANK(PM!O30),"",PM!O30)</f>
        <v/>
      </c>
      <c r="P18" s="108"/>
      <c r="Q18" s="108"/>
      <c r="R18" s="107"/>
      <c r="S18" s="109"/>
      <c r="T18" s="108"/>
      <c r="U18" s="108"/>
      <c r="V18" s="107"/>
      <c r="W18" s="108"/>
      <c r="X18" s="108"/>
      <c r="Y18" s="107" t="str">
        <f>IF(ISBLANK(PM!Y30),"",PM!Y30)</f>
        <v/>
      </c>
      <c r="Z18" s="108"/>
      <c r="AA18" s="107"/>
      <c r="AB18" s="108"/>
      <c r="AC18" s="107"/>
      <c r="AD18" s="107"/>
      <c r="AE18" s="107"/>
      <c r="AF18" s="108"/>
      <c r="AG18" s="108"/>
      <c r="AH18" s="108"/>
      <c r="AI18" s="109"/>
      <c r="AJ18" s="451"/>
      <c r="AK18" s="280"/>
      <c r="AL18" s="280"/>
      <c r="AM18" s="280"/>
      <c r="AN18" s="280"/>
      <c r="AO18" s="280"/>
      <c r="AP18" s="280"/>
      <c r="AQ18" s="280"/>
      <c r="AR18" s="280"/>
    </row>
    <row r="19" spans="1:44" s="106" customFormat="1" ht="12" hidden="1" x14ac:dyDescent="0.2">
      <c r="A19" s="212" t="str">
        <f>IF(ISBLANK(PM!A31),"",PM!A31)</f>
        <v/>
      </c>
      <c r="B19" s="109" t="str">
        <f>IF(ISBLANK(PM!B31),"",PM!B31)</f>
        <v/>
      </c>
      <c r="C19" s="109"/>
      <c r="D19" s="109"/>
      <c r="E19" s="109"/>
      <c r="F19" s="109"/>
      <c r="G19" s="213"/>
      <c r="H19" s="213"/>
      <c r="I19" s="108"/>
      <c r="J19" s="108"/>
      <c r="K19" s="108"/>
      <c r="L19" s="108"/>
      <c r="M19" s="108"/>
      <c r="N19" s="108"/>
      <c r="O19" s="107" t="str">
        <f>IF(ISBLANK(PM!O31),"",PM!O31)</f>
        <v/>
      </c>
      <c r="P19" s="108"/>
      <c r="Q19" s="108"/>
      <c r="R19" s="107"/>
      <c r="S19" s="109"/>
      <c r="T19" s="108"/>
      <c r="U19" s="108"/>
      <c r="V19" s="107"/>
      <c r="W19" s="108"/>
      <c r="X19" s="108"/>
      <c r="Y19" s="107" t="str">
        <f>IF(ISBLANK(PM!Y31),"",PM!Y31)</f>
        <v/>
      </c>
      <c r="Z19" s="108"/>
      <c r="AA19" s="107"/>
      <c r="AB19" s="108"/>
      <c r="AC19" s="107"/>
      <c r="AD19" s="107"/>
      <c r="AE19" s="107"/>
      <c r="AF19" s="108"/>
      <c r="AG19" s="108"/>
      <c r="AH19" s="108"/>
      <c r="AI19" s="109"/>
      <c r="AJ19" s="451"/>
      <c r="AK19" s="280"/>
      <c r="AL19" s="280"/>
      <c r="AM19" s="280"/>
      <c r="AN19" s="280"/>
      <c r="AO19" s="280"/>
      <c r="AP19" s="280"/>
      <c r="AQ19" s="280"/>
      <c r="AR19" s="280"/>
    </row>
    <row r="20" spans="1:44" s="106" customFormat="1" ht="12" hidden="1" x14ac:dyDescent="0.2">
      <c r="A20" s="212" t="str">
        <f>IF(ISBLANK(PM!A32),"",PM!A32)</f>
        <v/>
      </c>
      <c r="B20" s="109" t="str">
        <f>IF(ISBLANK(PM!B32),"",PM!B32)</f>
        <v/>
      </c>
      <c r="C20" s="109"/>
      <c r="D20" s="109"/>
      <c r="E20" s="109"/>
      <c r="F20" s="109"/>
      <c r="G20" s="213"/>
      <c r="H20" s="213"/>
      <c r="I20" s="108"/>
      <c r="J20" s="108"/>
      <c r="K20" s="108"/>
      <c r="L20" s="108"/>
      <c r="M20" s="108"/>
      <c r="N20" s="108"/>
      <c r="O20" s="107" t="str">
        <f>IF(ISBLANK(PM!O32),"",PM!O32)</f>
        <v/>
      </c>
      <c r="P20" s="108"/>
      <c r="Q20" s="108"/>
      <c r="R20" s="107"/>
      <c r="S20" s="109"/>
      <c r="T20" s="108"/>
      <c r="U20" s="108"/>
      <c r="V20" s="107"/>
      <c r="W20" s="108"/>
      <c r="X20" s="108"/>
      <c r="Y20" s="107" t="str">
        <f>IF(ISBLANK(PM!Y32),"",PM!Y32)</f>
        <v/>
      </c>
      <c r="Z20" s="108"/>
      <c r="AA20" s="107"/>
      <c r="AB20" s="108"/>
      <c r="AC20" s="107"/>
      <c r="AD20" s="107"/>
      <c r="AE20" s="107"/>
      <c r="AF20" s="108"/>
      <c r="AG20" s="108"/>
      <c r="AH20" s="108"/>
      <c r="AI20" s="109"/>
      <c r="AJ20" s="451"/>
      <c r="AK20" s="280"/>
      <c r="AL20" s="280"/>
      <c r="AM20" s="280"/>
      <c r="AN20" s="280"/>
      <c r="AO20" s="280"/>
      <c r="AP20" s="280"/>
      <c r="AQ20" s="280"/>
      <c r="AR20" s="280"/>
    </row>
    <row r="21" spans="1:44" s="106" customFormat="1" ht="12" hidden="1" x14ac:dyDescent="0.2">
      <c r="A21" s="212" t="str">
        <f>IF(ISBLANK(PM!A33),"",PM!A33)</f>
        <v/>
      </c>
      <c r="B21" s="109" t="str">
        <f>IF(ISBLANK(PM!B33),"",PM!B33)</f>
        <v/>
      </c>
      <c r="C21" s="109"/>
      <c r="D21" s="109"/>
      <c r="E21" s="109"/>
      <c r="F21" s="109"/>
      <c r="G21" s="213"/>
      <c r="H21" s="213"/>
      <c r="I21" s="108"/>
      <c r="J21" s="108"/>
      <c r="K21" s="108"/>
      <c r="L21" s="108"/>
      <c r="M21" s="108"/>
      <c r="N21" s="108"/>
      <c r="O21" s="107" t="str">
        <f>IF(ISBLANK(PM!O33),"",PM!O33)</f>
        <v/>
      </c>
      <c r="P21" s="108"/>
      <c r="Q21" s="108"/>
      <c r="R21" s="107"/>
      <c r="S21" s="109"/>
      <c r="T21" s="108"/>
      <c r="U21" s="108"/>
      <c r="V21" s="107"/>
      <c r="W21" s="108"/>
      <c r="X21" s="108"/>
      <c r="Y21" s="107" t="str">
        <f>IF(ISBLANK(PM!Y33),"",PM!Y33)</f>
        <v/>
      </c>
      <c r="Z21" s="108"/>
      <c r="AA21" s="107"/>
      <c r="AB21" s="108"/>
      <c r="AC21" s="107"/>
      <c r="AD21" s="107"/>
      <c r="AE21" s="107"/>
      <c r="AF21" s="108"/>
      <c r="AG21" s="108"/>
      <c r="AH21" s="108"/>
      <c r="AI21" s="109"/>
      <c r="AJ21" s="451"/>
      <c r="AK21" s="280"/>
      <c r="AL21" s="280"/>
      <c r="AM21" s="280"/>
      <c r="AN21" s="280"/>
      <c r="AO21" s="280"/>
      <c r="AP21" s="280"/>
      <c r="AQ21" s="280"/>
      <c r="AR21" s="280"/>
    </row>
    <row r="22" spans="1:44" s="106" customFormat="1" ht="12" hidden="1" x14ac:dyDescent="0.2">
      <c r="A22" s="212" t="str">
        <f>IF(ISBLANK(PM!A34),"",PM!A34)</f>
        <v/>
      </c>
      <c r="B22" s="109" t="str">
        <f>IF(ISBLANK(PM!B34),"",PM!B34)</f>
        <v/>
      </c>
      <c r="C22" s="109"/>
      <c r="D22" s="109"/>
      <c r="E22" s="109"/>
      <c r="F22" s="109"/>
      <c r="G22" s="213"/>
      <c r="H22" s="213"/>
      <c r="I22" s="108"/>
      <c r="J22" s="108"/>
      <c r="K22" s="108"/>
      <c r="L22" s="108"/>
      <c r="M22" s="108"/>
      <c r="N22" s="108"/>
      <c r="O22" s="107" t="str">
        <f>IF(ISBLANK(PM!O34),"",PM!O34)</f>
        <v/>
      </c>
      <c r="P22" s="108"/>
      <c r="Q22" s="108"/>
      <c r="R22" s="107"/>
      <c r="S22" s="109"/>
      <c r="T22" s="108"/>
      <c r="U22" s="108"/>
      <c r="V22" s="107"/>
      <c r="W22" s="108"/>
      <c r="X22" s="108"/>
      <c r="Y22" s="107" t="str">
        <f>IF(ISBLANK(PM!Y34),"",PM!Y34)</f>
        <v/>
      </c>
      <c r="Z22" s="108"/>
      <c r="AA22" s="107"/>
      <c r="AB22" s="108"/>
      <c r="AC22" s="107"/>
      <c r="AD22" s="107"/>
      <c r="AE22" s="107"/>
      <c r="AF22" s="108"/>
      <c r="AG22" s="108"/>
      <c r="AH22" s="108"/>
      <c r="AI22" s="109"/>
      <c r="AJ22" s="451"/>
      <c r="AK22" s="280"/>
      <c r="AL22" s="280"/>
      <c r="AM22" s="280"/>
      <c r="AN22" s="280"/>
      <c r="AO22" s="280"/>
      <c r="AP22" s="280"/>
      <c r="AQ22" s="280"/>
      <c r="AR22" s="280"/>
    </row>
    <row r="23" spans="1:44" s="106" customFormat="1" ht="12" hidden="1" x14ac:dyDescent="0.2">
      <c r="A23" s="212" t="str">
        <f>IF(ISBLANK(PM!A35),"",PM!A35)</f>
        <v/>
      </c>
      <c r="B23" s="109" t="str">
        <f>IF(ISBLANK(PM!B35),"",PM!B35)</f>
        <v/>
      </c>
      <c r="C23" s="109"/>
      <c r="D23" s="109"/>
      <c r="E23" s="109"/>
      <c r="F23" s="109"/>
      <c r="G23" s="213"/>
      <c r="H23" s="213"/>
      <c r="I23" s="108"/>
      <c r="J23" s="108"/>
      <c r="K23" s="108"/>
      <c r="L23" s="108"/>
      <c r="M23" s="108"/>
      <c r="N23" s="108"/>
      <c r="O23" s="107" t="str">
        <f>IF(ISBLANK(PM!O35),"",PM!O35)</f>
        <v/>
      </c>
      <c r="P23" s="108"/>
      <c r="Q23" s="108"/>
      <c r="R23" s="107"/>
      <c r="S23" s="109"/>
      <c r="T23" s="108"/>
      <c r="U23" s="108"/>
      <c r="V23" s="107"/>
      <c r="W23" s="108"/>
      <c r="X23" s="108"/>
      <c r="Y23" s="107" t="str">
        <f>IF(ISBLANK(PM!Y35),"",PM!Y35)</f>
        <v/>
      </c>
      <c r="Z23" s="108"/>
      <c r="AA23" s="107"/>
      <c r="AB23" s="108"/>
      <c r="AC23" s="107"/>
      <c r="AD23" s="107"/>
      <c r="AE23" s="107"/>
      <c r="AF23" s="108"/>
      <c r="AG23" s="108"/>
      <c r="AH23" s="108"/>
      <c r="AI23" s="109"/>
      <c r="AJ23" s="451"/>
      <c r="AK23" s="280"/>
      <c r="AL23" s="280"/>
      <c r="AM23" s="280"/>
      <c r="AN23" s="280"/>
      <c r="AO23" s="280"/>
      <c r="AP23" s="280"/>
      <c r="AQ23" s="280"/>
      <c r="AR23" s="280"/>
    </row>
    <row r="24" spans="1:44" s="106" customFormat="1" ht="12.75" hidden="1" customHeight="1" x14ac:dyDescent="0.2">
      <c r="A24" s="212" t="str">
        <f>IF(ISBLANK(PM!A36),"",PM!A36)</f>
        <v/>
      </c>
      <c r="B24" s="109" t="str">
        <f>IF(ISBLANK(PM!B36),"",PM!B36)</f>
        <v/>
      </c>
      <c r="C24" s="109"/>
      <c r="D24" s="109"/>
      <c r="E24" s="109"/>
      <c r="F24" s="109"/>
      <c r="G24" s="109"/>
      <c r="H24" s="209"/>
      <c r="I24" s="108"/>
      <c r="J24" s="108"/>
      <c r="K24" s="108"/>
      <c r="L24" s="108"/>
      <c r="M24" s="108"/>
      <c r="N24" s="108"/>
      <c r="O24" s="107" t="str">
        <f>IF(ISBLANK(PM!O36),"",PM!O36)</f>
        <v/>
      </c>
      <c r="P24" s="108"/>
      <c r="Q24" s="108"/>
      <c r="R24" s="107"/>
      <c r="S24" s="109"/>
      <c r="T24" s="108"/>
      <c r="U24" s="108"/>
      <c r="V24" s="107"/>
      <c r="W24" s="108"/>
      <c r="X24" s="108"/>
      <c r="Y24" s="107" t="str">
        <f>IF(ISBLANK(PM!Y36),"",PM!Y36)</f>
        <v/>
      </c>
      <c r="Z24" s="108"/>
      <c r="AA24" s="107"/>
      <c r="AB24" s="108"/>
      <c r="AC24" s="107"/>
      <c r="AD24" s="107"/>
      <c r="AE24" s="107"/>
      <c r="AF24" s="108"/>
      <c r="AG24" s="108"/>
      <c r="AH24" s="108"/>
      <c r="AI24" s="109"/>
      <c r="AJ24" s="451"/>
      <c r="AK24" s="280"/>
      <c r="AL24" s="280"/>
      <c r="AM24" s="280"/>
      <c r="AN24" s="280"/>
      <c r="AO24" s="280"/>
      <c r="AP24" s="280"/>
      <c r="AQ24" s="280"/>
      <c r="AR24" s="280"/>
    </row>
    <row r="25" spans="1:44" s="106" customFormat="1" ht="12.75" customHeight="1" x14ac:dyDescent="0.2">
      <c r="A25" s="212" t="str">
        <f>IF(ISBLANK(PM!A37),"",PM!A37)</f>
        <v/>
      </c>
      <c r="B25" s="109" t="str">
        <f>IF(ISBLANK(PM!B37),"",PM!B37)</f>
        <v/>
      </c>
      <c r="C25" s="108"/>
      <c r="D25" s="109"/>
      <c r="E25" s="109"/>
      <c r="F25" s="109"/>
      <c r="G25" s="109"/>
      <c r="H25" s="209"/>
      <c r="I25" s="108"/>
      <c r="J25" s="108"/>
      <c r="K25" s="108"/>
      <c r="L25" s="108"/>
      <c r="M25" s="108"/>
      <c r="N25" s="108"/>
      <c r="O25" s="107" t="str">
        <f>IF(ISBLANK(PM!O37),"",PM!O37)</f>
        <v/>
      </c>
      <c r="P25" s="107"/>
      <c r="Q25" s="108"/>
      <c r="R25" s="107"/>
      <c r="S25" s="109"/>
      <c r="T25" s="108"/>
      <c r="U25" s="108"/>
      <c r="V25" s="107"/>
      <c r="W25" s="108"/>
      <c r="X25" s="108"/>
      <c r="Y25" s="107" t="str">
        <f>IF(ISBLANK(PM!Y37),"",PM!Y37)</f>
        <v/>
      </c>
      <c r="Z25" s="108"/>
      <c r="AA25" s="108"/>
      <c r="AB25" s="108"/>
      <c r="AC25" s="107"/>
      <c r="AD25" s="107"/>
      <c r="AE25" s="108"/>
      <c r="AF25" s="108"/>
      <c r="AG25" s="108"/>
      <c r="AH25" s="108"/>
      <c r="AI25" s="109"/>
      <c r="AJ25" s="451"/>
      <c r="AK25" s="280"/>
      <c r="AL25" s="280"/>
      <c r="AM25" s="280"/>
      <c r="AN25" s="280"/>
      <c r="AO25" s="280"/>
      <c r="AP25" s="280"/>
      <c r="AQ25" s="280"/>
      <c r="AR25" s="280"/>
    </row>
    <row r="26" spans="1:44" ht="11.25" customHeight="1" x14ac:dyDescent="0.2">
      <c r="A26" s="253">
        <f>MAX(A9:A25)</f>
        <v>7</v>
      </c>
      <c r="B26" s="462"/>
      <c r="C26" s="461" t="str">
        <f>IF(ISBLANK(PM!B39),"",PM!B39)</f>
        <v>T1=</v>
      </c>
      <c r="D26" s="99" t="str">
        <f>IF(ISBLANK(PM!D39),"",PM!D39)</f>
        <v>Flaggblad spets synlig - flaggbladets slida synliga</v>
      </c>
      <c r="E26" s="99"/>
      <c r="F26" s="211"/>
      <c r="G26" s="211"/>
      <c r="H26" s="99"/>
      <c r="I26" s="99"/>
      <c r="J26" s="102"/>
      <c r="K26" s="102"/>
      <c r="L26" s="102"/>
      <c r="M26" s="102"/>
      <c r="N26" s="102"/>
      <c r="O26" s="99"/>
      <c r="P26" s="100"/>
      <c r="Q26" s="210"/>
      <c r="R26" s="102"/>
      <c r="S26" s="102"/>
      <c r="T26" s="102"/>
      <c r="U26" s="102"/>
      <c r="V26" s="102"/>
      <c r="W26" s="102"/>
      <c r="X26" s="102"/>
      <c r="Y26" s="102"/>
      <c r="Z26" s="102"/>
      <c r="AA26" s="463" t="str">
        <f>IF(ISBLANK(PM!S39),"",PM!S39)</f>
        <v/>
      </c>
      <c r="AB26" s="210" t="str">
        <f>IF(ISBLANK(PM!U39),"",PM!U39)</f>
        <v/>
      </c>
      <c r="AC26" s="210"/>
      <c r="AD26" s="102"/>
      <c r="AE26" s="102"/>
      <c r="AF26" s="101"/>
      <c r="AG26" s="101"/>
      <c r="AH26" s="101"/>
      <c r="AI26" s="101"/>
      <c r="AJ26" s="449"/>
    </row>
    <row r="27" spans="1:44" s="5" customFormat="1" ht="11.25" x14ac:dyDescent="0.2">
      <c r="A27" s="104" t="s">
        <v>6</v>
      </c>
      <c r="B27" s="62"/>
      <c r="C27" s="62"/>
      <c r="D27" s="62"/>
      <c r="E27" s="62"/>
      <c r="F27" s="62"/>
      <c r="G27" s="62"/>
      <c r="H27" s="62"/>
      <c r="I27" s="62"/>
      <c r="J27" s="62"/>
      <c r="K27" s="62"/>
      <c r="L27" s="62"/>
      <c r="M27" s="62"/>
      <c r="N27" s="62"/>
      <c r="O27" s="62"/>
      <c r="P27" s="62"/>
      <c r="Q27" s="62"/>
      <c r="R27" s="943" t="s">
        <v>1454</v>
      </c>
      <c r="S27" s="943"/>
      <c r="T27" s="943"/>
      <c r="U27" s="943"/>
      <c r="V27" s="943"/>
      <c r="W27" s="943"/>
      <c r="X27" s="943"/>
      <c r="Y27" s="943"/>
      <c r="Z27" s="943"/>
      <c r="AA27" s="943"/>
      <c r="AB27" s="943"/>
      <c r="AC27" s="943"/>
      <c r="AD27" s="943"/>
      <c r="AE27" s="943"/>
      <c r="AF27" s="943"/>
      <c r="AG27" s="943"/>
      <c r="AH27" s="943"/>
      <c r="AI27" s="437">
        <f>PM!AG17</f>
        <v>1</v>
      </c>
      <c r="AJ27" s="460"/>
      <c r="AK27" s="136"/>
      <c r="AL27" s="136"/>
      <c r="AM27" s="136"/>
      <c r="AN27" s="136"/>
      <c r="AO27" s="136"/>
      <c r="AP27" s="136"/>
      <c r="AQ27" s="136"/>
      <c r="AR27" s="136"/>
    </row>
    <row r="28" spans="1:44" x14ac:dyDescent="0.2">
      <c r="A28" s="63" t="str">
        <f>IF($F$35="2x2","Block III-IV",IF($F$35="1x4","Block IV",""))</f>
        <v>Block III-IV</v>
      </c>
      <c r="B28" s="64"/>
      <c r="C28" s="64"/>
      <c r="D28" s="64"/>
      <c r="E28" s="251" t="s">
        <v>149</v>
      </c>
      <c r="F28" s="252" t="str">
        <f>IF($F$35="2x2",CONCATENATE(0.5*A$6+1,"-",A$6,"&gt;&gt;"),IF($F$35="1x4",CONCATENATE(0.75*A$6+1,"-",A$6,"&gt;&gt;"),""))</f>
        <v>15-28&gt;&gt;</v>
      </c>
      <c r="G28" s="64"/>
      <c r="H28" s="9"/>
      <c r="I28" s="64"/>
      <c r="J28" s="64"/>
      <c r="K28" s="64"/>
      <c r="L28" s="64"/>
      <c r="M28" s="64"/>
      <c r="N28" s="64"/>
      <c r="O28" s="64"/>
      <c r="P28" s="64"/>
      <c r="Q28" s="64"/>
      <c r="R28" s="944"/>
      <c r="S28" s="944"/>
      <c r="T28" s="944"/>
      <c r="U28" s="944"/>
      <c r="V28" s="944"/>
      <c r="W28" s="944"/>
      <c r="X28" s="944"/>
      <c r="Y28" s="944"/>
      <c r="Z28" s="944"/>
      <c r="AA28" s="944"/>
      <c r="AB28" s="944"/>
      <c r="AC28" s="944"/>
      <c r="AD28" s="944"/>
      <c r="AE28" s="944"/>
      <c r="AF28" s="944"/>
      <c r="AG28" s="944"/>
      <c r="AH28" s="944"/>
      <c r="AI28" s="64"/>
      <c r="AJ28" s="449"/>
    </row>
    <row r="29" spans="1:44" s="10" customFormat="1" x14ac:dyDescent="0.2">
      <c r="A29" s="214" t="str">
        <f>IF(AND(F36="Ja",F35&lt;&gt;"2x2"),"X","")</f>
        <v/>
      </c>
      <c r="B29" s="215" t="str">
        <f>IF(OR(Led!P86&gt;0,Led!P86="X"),Led!P86,"")</f>
        <v/>
      </c>
      <c r="C29" s="215" t="str">
        <f>IF(OR(Led!Q86&gt;0,Led!Q86="X"),Led!Q86,"")</f>
        <v/>
      </c>
      <c r="D29" s="215" t="str">
        <f>IF(OR(Led!R86&gt;0,Led!R86="X"),Led!R86,"")</f>
        <v/>
      </c>
      <c r="E29" s="215" t="str">
        <f>IF(OR(Led!S86&gt;0,Led!S86="X"),Led!S86,"")</f>
        <v/>
      </c>
      <c r="F29" s="215" t="str">
        <f>IF(OR(Led!T86&gt;0,Led!T86="X"),Led!T86,"")</f>
        <v/>
      </c>
      <c r="G29" s="215" t="str">
        <f>IF(OR(Led!U86&gt;0,Led!U86="X"),Led!U86,"")</f>
        <v/>
      </c>
      <c r="H29" s="215" t="str">
        <f>IF(OR(Led!V86&gt;0,Led!V86="X"),Led!V86,"")</f>
        <v/>
      </c>
      <c r="I29" s="215" t="str">
        <f>IF(OR(Led!W86&gt;0,Led!W86="X"),Led!W86,"")</f>
        <v/>
      </c>
      <c r="J29" s="215" t="str">
        <f>IF(OR(Led!X86&gt;0,Led!X86="X"),Led!X86,"")</f>
        <v/>
      </c>
      <c r="K29" s="215" t="str">
        <f>IF(OR(Led!Y86&gt;0,Led!Y86="X"),Led!Y86,"")</f>
        <v/>
      </c>
      <c r="L29" s="215" t="str">
        <f>IF(OR(Led!Z86&gt;0,Led!Z86="X"),Led!Z86,"")</f>
        <v/>
      </c>
      <c r="M29" s="215" t="str">
        <f>IF(OR(Led!AA86&gt;0,Led!AA86="X"),Led!AA86,"")</f>
        <v/>
      </c>
      <c r="N29" s="215" t="str">
        <f>IF(OR(Led!AB86&gt;0,Led!AB86="X"),Led!AB86,"")</f>
        <v/>
      </c>
      <c r="O29" s="215" t="str">
        <f>IF(OR(Led!AC86&gt;0,Led!AC86="X"),Led!AC86,"")</f>
        <v/>
      </c>
      <c r="P29" s="215" t="str">
        <f>IF(OR(Led!AD86&gt;0,Led!AD86="X"),Led!AD86,"")</f>
        <v/>
      </c>
      <c r="Q29" s="215" t="str">
        <f>IF(OR(Led!AE86&gt;0,Led!AE86="X"),Led!AE86,"")</f>
        <v/>
      </c>
      <c r="R29" s="215" t="str">
        <f>IF(OR(Led!AF86&gt;0,Led!AF86="X"),Led!AF86,"")</f>
        <v/>
      </c>
      <c r="S29" s="215" t="str">
        <f>IF(OR(Led!AG86&gt;0,Led!AG86="X"),Led!AG86,"")</f>
        <v/>
      </c>
      <c r="T29" s="215" t="str">
        <f>IF(OR(Led!AH86&gt;0,Led!AH86="X"),Led!AH86,"")</f>
        <v/>
      </c>
      <c r="U29" s="215" t="str">
        <f>IF(OR(Led!AI86&gt;0,Led!AI86="X"),Led!AI86,"")</f>
        <v/>
      </c>
      <c r="V29" s="215" t="str">
        <f>IF(OR(Led!AJ86&gt;0,Led!AJ86="X"),Led!AJ86,"")</f>
        <v/>
      </c>
      <c r="W29" s="215" t="str">
        <f>IF(OR(Led!AK86&gt;0,Led!AK86="X"),Led!AK86,"")</f>
        <v/>
      </c>
      <c r="X29" s="215" t="str">
        <f>IF(OR(Led!AL86&gt;0,Led!AL86="X"),Led!AL86,"")</f>
        <v/>
      </c>
      <c r="Y29" s="215" t="str">
        <f>IF(OR(Led!AM86&gt;0,Led!AM86="X"),Led!AM86,"")</f>
        <v/>
      </c>
      <c r="Z29" s="215" t="str">
        <f>IF(OR(Led!AN86&gt;0,Led!AN86="X"),Led!AN86,"")</f>
        <v/>
      </c>
      <c r="AA29" s="215" t="str">
        <f>IF(OR(Led!AO86&gt;0,Led!AO86="X"),Led!AO86,"")</f>
        <v/>
      </c>
      <c r="AB29" s="215" t="str">
        <f>IF(OR(Led!AP86&gt;0,Led!AP86="X"),Led!AP86,"")</f>
        <v/>
      </c>
      <c r="AC29" s="215" t="str">
        <f>IF(OR(Led!AQ86&gt;0,Led!AQ86="X"),Led!AQ86,"")</f>
        <v/>
      </c>
      <c r="AD29" s="215" t="str">
        <f>IF(OR(Led!AR86&gt;0,Led!AR86="X"),Led!AR86,"")</f>
        <v/>
      </c>
      <c r="AE29" s="215" t="str">
        <f>IF(OR(Led!AS86&gt;0,Led!AS86="X"),Led!AS86,"")</f>
        <v/>
      </c>
      <c r="AF29" s="215" t="str">
        <f>IF(OR(Led!AT86&gt;0,Led!AT86="X"),Led!AT86,"")</f>
        <v/>
      </c>
      <c r="AG29" s="215" t="str">
        <f>IF(OR(Led!AU86&gt;0,Led!AU86="X"),Led!AU86,"")</f>
        <v/>
      </c>
      <c r="AH29" s="215" t="str">
        <f>IF(OR(Led!AV86&gt;0,Led!AV86="X"),Led!AV86,"")</f>
        <v/>
      </c>
      <c r="AI29" s="64"/>
      <c r="AJ29" s="449"/>
      <c r="AK29" s="8"/>
      <c r="AL29" s="8"/>
      <c r="AM29" s="8"/>
      <c r="AN29" s="8"/>
      <c r="AO29" s="8"/>
      <c r="AP29" s="8"/>
      <c r="AQ29" s="8"/>
      <c r="AR29" s="8"/>
    </row>
    <row r="30" spans="1:44" s="10" customFormat="1" x14ac:dyDescent="0.2">
      <c r="A30" s="214" t="str">
        <f>IF(AND($F$36="Ja",$F$35&lt;&gt;"4x1"),"X","")</f>
        <v>X</v>
      </c>
      <c r="B30" s="215">
        <f>IF(OR(Led!P87&gt;0,Led!P87="X"),Led!P87,"")</f>
        <v>1</v>
      </c>
      <c r="C30" s="215">
        <f>IF(OR(Led!Q87&gt;0,Led!Q87="X"),Led!Q87,"")</f>
        <v>2</v>
      </c>
      <c r="D30" s="215">
        <f>IF(OR(Led!R87&gt;0,Led!R87="X"),Led!R87,"")</f>
        <v>6</v>
      </c>
      <c r="E30" s="215">
        <f>IF(OR(Led!S87&gt;0,Led!S87="X"),Led!S87,"")</f>
        <v>5</v>
      </c>
      <c r="F30" s="215">
        <f>IF(OR(Led!T87&gt;0,Led!T87="X"),Led!T87,"")</f>
        <v>6</v>
      </c>
      <c r="G30" s="215">
        <f>IF(OR(Led!U87&gt;0,Led!U87="X"),Led!U87,"")</f>
        <v>7</v>
      </c>
      <c r="H30" s="215">
        <f>IF(OR(Led!V87&gt;0,Led!V87="X"),Led!V87,"")</f>
        <v>4</v>
      </c>
      <c r="I30" s="215">
        <f>IF(OR(Led!W87&gt;0,Led!W87="X"),Led!W87,"")</f>
        <v>5</v>
      </c>
      <c r="J30" s="215">
        <f>IF(OR(Led!X87&gt;0,Led!X87="X"),Led!X87,"")</f>
        <v>7</v>
      </c>
      <c r="K30" s="215">
        <f>IF(OR(Led!Y87&gt;0,Led!Y87="X"),Led!Y87,"")</f>
        <v>1</v>
      </c>
      <c r="L30" s="215">
        <f>IF(OR(Led!Z87&gt;0,Led!Z87="X"),Led!Z87,"")</f>
        <v>4</v>
      </c>
      <c r="M30" s="215">
        <f>IF(OR(Led!AA87&gt;0,Led!AA87="X"),Led!AA87,"")</f>
        <v>2</v>
      </c>
      <c r="N30" s="215">
        <f>IF(OR(Led!AB87&gt;0,Led!AB87="X"),Led!AB87,"")</f>
        <v>6</v>
      </c>
      <c r="O30" s="215">
        <f>IF(OR(Led!AC87&gt;0,Led!AC87="X"),Led!AC87,"")</f>
        <v>3</v>
      </c>
      <c r="P30" s="215" t="str">
        <f>IF(OR(Led!AD87&gt;0,Led!AD87="X"),Led!AD87,"")</f>
        <v>X</v>
      </c>
      <c r="Q30" s="215" t="str">
        <f>IF(OR(Led!AE87&gt;0,Led!AE87="X"),Led!AE87,"")</f>
        <v/>
      </c>
      <c r="R30" s="215" t="str">
        <f>IF(OR(Led!AF87&gt;0,Led!AF87="X"),Led!AF87,"")</f>
        <v/>
      </c>
      <c r="S30" s="215" t="str">
        <f>IF(OR(Led!AG87&gt;0,Led!AG87="X"),Led!AG87,"")</f>
        <v/>
      </c>
      <c r="T30" s="215" t="str">
        <f>IF(OR(Led!AH87&gt;0,Led!AH87="X"),Led!AH87,"")</f>
        <v/>
      </c>
      <c r="U30" s="215" t="str">
        <f>IF(OR(Led!AI87&gt;0,Led!AI87="X"),Led!AI87,"")</f>
        <v/>
      </c>
      <c r="V30" s="215" t="str">
        <f>IF(OR(Led!AJ87&gt;0,Led!AJ87="X"),Led!AJ87,"")</f>
        <v/>
      </c>
      <c r="W30" s="215" t="str">
        <f>IF(OR(Led!AK87&gt;0,Led!AK87="X"),Led!AK87,"")</f>
        <v/>
      </c>
      <c r="X30" s="215" t="str">
        <f>IF(OR(Led!AL87&gt;0,Led!AL87="X"),Led!AL87,"")</f>
        <v/>
      </c>
      <c r="Y30" s="215" t="str">
        <f>IF(OR(Led!AM87&gt;0,Led!AM87="X"),Led!AM87,"")</f>
        <v/>
      </c>
      <c r="Z30" s="215" t="str">
        <f>IF(OR(Led!AN87&gt;0,Led!AN87="X"),Led!AN87,"")</f>
        <v/>
      </c>
      <c r="AA30" s="215" t="str">
        <f>IF(OR(Led!AO87&gt;0,Led!AO87="X"),Led!AO87,"")</f>
        <v/>
      </c>
      <c r="AB30" s="215" t="str">
        <f>IF(OR(Led!AP87&gt;0,Led!AP87="X"),Led!AP87,"")</f>
        <v/>
      </c>
      <c r="AC30" s="215" t="str">
        <f>IF(OR(Led!AQ87&gt;0,Led!AQ87="X"),Led!AQ87,"")</f>
        <v/>
      </c>
      <c r="AD30" s="215" t="str">
        <f>IF(OR(Led!AR87&gt;0,Led!AR87="X"),Led!AR87,"")</f>
        <v/>
      </c>
      <c r="AE30" s="215" t="str">
        <f>IF(OR(Led!AS87&gt;0,Led!AS87="X"),Led!AS87,"")</f>
        <v/>
      </c>
      <c r="AF30" s="215" t="str">
        <f>IF(OR(Led!AT87&gt;0,Led!AT87="X"),Led!AT87,"")</f>
        <v/>
      </c>
      <c r="AG30" s="215" t="str">
        <f>IF(OR(Led!AU87&gt;0,Led!AU87="X"),Led!AU87,"")</f>
        <v/>
      </c>
      <c r="AH30" s="215" t="str">
        <f>IF(OR(Led!AV87&gt;0,Led!AV87="X"),Led!AV87,"")</f>
        <v/>
      </c>
      <c r="AI30" s="215" t="str">
        <f>IF(OR(Led!AW87&gt;0,Led!AW87="X"),Led!AW87,"")</f>
        <v/>
      </c>
      <c r="AJ30" s="216" t="str">
        <f>IF(AND(A$25=17,F36="Ja",F$35="2x2"),"X","")</f>
        <v/>
      </c>
      <c r="AK30" s="8"/>
      <c r="AL30" s="8"/>
      <c r="AM30" s="8"/>
      <c r="AN30" s="8"/>
      <c r="AO30" s="8"/>
      <c r="AP30" s="8"/>
      <c r="AQ30" s="8"/>
      <c r="AR30" s="8"/>
    </row>
    <row r="31" spans="1:44" s="10" customFormat="1" x14ac:dyDescent="0.2">
      <c r="A31" s="214" t="str">
        <f>IF(AND($F$36="Ja",$F$35&lt;&gt;"4x1"),"X","")</f>
        <v>X</v>
      </c>
      <c r="B31" s="215">
        <f>IF(OR(Led!P88&gt;0,Led!P88="X"),Led!P88,"")</f>
        <v>7</v>
      </c>
      <c r="C31" s="215">
        <f>IF(OR(Led!Q88&gt;0,Led!Q88="X"),Led!Q88,"")</f>
        <v>4</v>
      </c>
      <c r="D31" s="215">
        <f>IF(OR(Led!R88&gt;0,Led!R88="X"),Led!R88,"")</f>
        <v>3</v>
      </c>
      <c r="E31" s="215">
        <f>IF(OR(Led!S88&gt;0,Led!S88="X"),Led!S88,"")</f>
        <v>1</v>
      </c>
      <c r="F31" s="215">
        <f>IF(OR(Led!T88&gt;0,Led!T88="X"),Led!T88,"")</f>
        <v>3</v>
      </c>
      <c r="G31" s="215">
        <f>IF(OR(Led!U88&gt;0,Led!U88="X"),Led!U88,"")</f>
        <v>5</v>
      </c>
      <c r="H31" s="215">
        <f>IF(OR(Led!V88&gt;0,Led!V88="X"),Led!V88,"")</f>
        <v>2</v>
      </c>
      <c r="I31" s="215">
        <f>IF(OR(Led!W88&gt;0,Led!W88="X"),Led!W88,"")</f>
        <v>3</v>
      </c>
      <c r="J31" s="215">
        <f>IF(OR(Led!X88&gt;0,Led!X88="X"),Led!X88,"")</f>
        <v>6</v>
      </c>
      <c r="K31" s="215">
        <f>IF(OR(Led!Y88&gt;0,Led!Y88="X"),Led!Y88,"")</f>
        <v>2</v>
      </c>
      <c r="L31" s="215">
        <f>IF(OR(Led!Z88&gt;0,Led!Z88="X"),Led!Z88,"")</f>
        <v>7</v>
      </c>
      <c r="M31" s="215">
        <f>IF(OR(Led!AA88&gt;0,Led!AA88="X"),Led!AA88,"")</f>
        <v>4</v>
      </c>
      <c r="N31" s="215">
        <f>IF(OR(Led!AB88&gt;0,Led!AB88="X"),Led!AB88,"")</f>
        <v>1</v>
      </c>
      <c r="O31" s="215">
        <f>IF(OR(Led!AC88&gt;0,Led!AC88="X"),Led!AC88,"")</f>
        <v>5</v>
      </c>
      <c r="P31" s="215" t="str">
        <f>IF(OR(Led!AD88&gt;0,Led!AD88="X"),Led!AD88,"")</f>
        <v>X</v>
      </c>
      <c r="Q31" s="215" t="str">
        <f>IF(OR(Led!AE88&gt;0,Led!AE88="X"),Led!AE88,"")</f>
        <v/>
      </c>
      <c r="R31" s="215" t="str">
        <f>IF(OR(Led!AF88&gt;0,Led!AF88="X"),Led!AF88,"")</f>
        <v/>
      </c>
      <c r="S31" s="215" t="str">
        <f>IF(OR(Led!AG88&gt;0,Led!AG88="X"),Led!AG88,"")</f>
        <v/>
      </c>
      <c r="T31" s="215" t="str">
        <f>IF(OR(Led!AH88&gt;0,Led!AH88="X"),Led!AH88,"")</f>
        <v/>
      </c>
      <c r="U31" s="215" t="str">
        <f>IF(OR(Led!AI88&gt;0,Led!AI88="X"),Led!AI88,"")</f>
        <v/>
      </c>
      <c r="V31" s="215" t="str">
        <f>IF(OR(Led!AJ88&gt;0,Led!AJ88="X"),Led!AJ88,"")</f>
        <v/>
      </c>
      <c r="W31" s="215" t="str">
        <f>IF(OR(Led!AK88&gt;0,Led!AK88="X"),Led!AK88,"")</f>
        <v/>
      </c>
      <c r="X31" s="215" t="str">
        <f>IF(OR(Led!AL88&gt;0,Led!AL88="X"),Led!AL88,"")</f>
        <v/>
      </c>
      <c r="Y31" s="215" t="str">
        <f>IF(OR(Led!AM88&gt;0,Led!AM88="X"),Led!AM88,"")</f>
        <v/>
      </c>
      <c r="Z31" s="215" t="str">
        <f>IF(OR(Led!AN88&gt;0,Led!AN88="X"),Led!AN88,"")</f>
        <v/>
      </c>
      <c r="AA31" s="215" t="str">
        <f>IF(OR(Led!AO88&gt;0,Led!AO88="X"),Led!AO88,"")</f>
        <v/>
      </c>
      <c r="AB31" s="215" t="str">
        <f>IF(OR(Led!AP88&gt;0,Led!AP88="X"),Led!AP88,"")</f>
        <v/>
      </c>
      <c r="AC31" s="215" t="str">
        <f>IF(OR(Led!AQ88&gt;0,Led!AQ88="X"),Led!AQ88,"")</f>
        <v/>
      </c>
      <c r="AD31" s="215" t="str">
        <f>IF(OR(Led!AR88&gt;0,Led!AR88="X"),Led!AR88,"")</f>
        <v/>
      </c>
      <c r="AE31" s="215" t="str">
        <f>IF(OR(Led!AS88&gt;0,Led!AS88="X"),Led!AS88,"")</f>
        <v/>
      </c>
      <c r="AF31" s="215" t="str">
        <f>IF(OR(Led!AT88&gt;0,Led!AT88="X"),Led!AT88,"")</f>
        <v/>
      </c>
      <c r="AG31" s="215" t="str">
        <f>IF(OR(Led!AU88&gt;0,Led!AU88="X"),Led!AU88,"")</f>
        <v/>
      </c>
      <c r="AH31" s="215" t="str">
        <f>IF(OR(Led!AV88&gt;0,Led!AV88="X"),Led!AV88,"")</f>
        <v/>
      </c>
      <c r="AI31" s="215" t="str">
        <f>IF(OR(Led!AW88&gt;0,Led!AW88="X"),Led!AW88,"")</f>
        <v/>
      </c>
      <c r="AJ31" s="216" t="str">
        <f>IF(AND(A$25=17,F36="Ja",F$35="2x2"),"X","")</f>
        <v/>
      </c>
      <c r="AK31" s="8"/>
      <c r="AL31" s="8"/>
      <c r="AM31" s="8"/>
      <c r="AN31" s="8"/>
      <c r="AO31" s="8"/>
      <c r="AP31" s="8"/>
      <c r="AQ31" s="8"/>
      <c r="AR31" s="8"/>
    </row>
    <row r="32" spans="1:44" s="10" customFormat="1" x14ac:dyDescent="0.2">
      <c r="A32" s="214" t="str">
        <f>IF(AND(F36="Ja",F35="1x4"),"X","")</f>
        <v/>
      </c>
      <c r="B32" s="215" t="str">
        <f>IF(OR(Led!P89&gt;0,Led!P89="X"),Led!P89,"")</f>
        <v/>
      </c>
      <c r="C32" s="215" t="str">
        <f>IF(OR(Led!Q89&gt;0,Led!Q89="X"),Led!Q89,"")</f>
        <v/>
      </c>
      <c r="D32" s="215" t="str">
        <f>IF(OR(Led!R89&gt;0,Led!R89="X"),Led!R89,"")</f>
        <v/>
      </c>
      <c r="E32" s="215" t="str">
        <f>IF(OR(Led!S89&gt;0,Led!S89="X"),Led!S89,"")</f>
        <v/>
      </c>
      <c r="F32" s="215" t="str">
        <f>IF(OR(Led!T89&gt;0,Led!T89="X"),Led!T89,"")</f>
        <v/>
      </c>
      <c r="G32" s="215" t="str">
        <f>IF(OR(Led!U89&gt;0,Led!U89="X"),Led!U89,"")</f>
        <v/>
      </c>
      <c r="H32" s="215" t="str">
        <f>IF(OR(Led!V89&gt;0,Led!V89="X"),Led!V89,"")</f>
        <v/>
      </c>
      <c r="I32" s="215" t="str">
        <f>IF(OR(Led!W89&gt;0,Led!W89="X"),Led!W89,"")</f>
        <v/>
      </c>
      <c r="J32" s="215" t="str">
        <f>IF(OR(Led!X89&gt;0,Led!X89="X"),Led!X89,"")</f>
        <v/>
      </c>
      <c r="K32" s="215" t="str">
        <f>IF(OR(Led!Y89&gt;0,Led!Y89="X"),Led!Y89,"")</f>
        <v/>
      </c>
      <c r="L32" s="215" t="str">
        <f>IF(OR(Led!Z89&gt;0,Led!Z89="X"),Led!Z89,"")</f>
        <v/>
      </c>
      <c r="M32" s="215" t="str">
        <f>IF(OR(Led!AA89&gt;0,Led!AA89="X"),Led!AA89,"")</f>
        <v/>
      </c>
      <c r="N32" s="215" t="str">
        <f>IF(OR(Led!AB89&gt;0,Led!AB89="X"),Led!AB89,"")</f>
        <v/>
      </c>
      <c r="O32" s="215" t="str">
        <f>IF(OR(Led!AC89&gt;0,Led!AC89="X"),Led!AC89,"")</f>
        <v/>
      </c>
      <c r="P32" s="215" t="str">
        <f>IF(OR(Led!AD89&gt;0,Led!AD89="X"),Led!AD89,"")</f>
        <v/>
      </c>
      <c r="Q32" s="215" t="str">
        <f>IF(OR(Led!AE89&gt;0,Led!AE89="X"),Led!AE89,"")</f>
        <v/>
      </c>
      <c r="R32" s="215" t="str">
        <f>IF(OR(Led!AF89&gt;0,Led!AF89="X"),Led!AF89,"")</f>
        <v/>
      </c>
      <c r="S32" s="215" t="str">
        <f>IF(OR(Led!AG89&gt;0,Led!AG89="X"),Led!AG89,"")</f>
        <v/>
      </c>
      <c r="T32" s="215" t="str">
        <f>IF(OR(Led!AH89&gt;0,Led!AH89="X"),Led!AH89,"")</f>
        <v/>
      </c>
      <c r="U32" s="215" t="str">
        <f>IF(OR(Led!AI89&gt;0,Led!AI89="X"),Led!AI89,"")</f>
        <v/>
      </c>
      <c r="V32" s="215" t="str">
        <f>IF(OR(Led!AJ89&gt;0,Led!AJ89="X"),Led!AJ89,"")</f>
        <v/>
      </c>
      <c r="W32" s="215" t="str">
        <f>IF(OR(Led!AK89&gt;0,Led!AK89="X"),Led!AK89,"")</f>
        <v/>
      </c>
      <c r="X32" s="215" t="str">
        <f>IF(OR(Led!AL89&gt;0,Led!AL89="X"),Led!AL89,"")</f>
        <v/>
      </c>
      <c r="Y32" s="215" t="str">
        <f>IF(OR(Led!AM89&gt;0,Led!AM89="X"),Led!AM89,"")</f>
        <v/>
      </c>
      <c r="Z32" s="215" t="str">
        <f>IF(OR(Led!AN89&gt;0,Led!AN89="X"),Led!AN89,"")</f>
        <v/>
      </c>
      <c r="AA32" s="215" t="str">
        <f>IF(OR(Led!AO89&gt;0,Led!AO89="X"),Led!AO89,"")</f>
        <v/>
      </c>
      <c r="AB32" s="215" t="str">
        <f>IF(OR(Led!AP89&gt;0,Led!AP89="X"),Led!AP89,"")</f>
        <v/>
      </c>
      <c r="AC32" s="215" t="str">
        <f>IF(OR(Led!AQ89&gt;0,Led!AQ89="X"),Led!AQ89,"")</f>
        <v/>
      </c>
      <c r="AD32" s="215" t="str">
        <f>IF(OR(Led!AR89&gt;0,Led!AR89="X"),Led!AR89,"")</f>
        <v/>
      </c>
      <c r="AE32" s="215" t="str">
        <f>IF(OR(Led!AS89&gt;0,Led!AS89="X"),Led!AS89,"")</f>
        <v/>
      </c>
      <c r="AF32" s="215" t="str">
        <f>IF(OR(Led!AT89&gt;0,Led!AT89="X"),Led!AT89,"")</f>
        <v/>
      </c>
      <c r="AG32" s="215" t="str">
        <f>IF(OR(Led!AU89&gt;0,Led!AU89="X"),Led!AU89,"")</f>
        <v/>
      </c>
      <c r="AH32" s="215" t="str">
        <f>IF(OR(Led!AV89&gt;0,Led!AV89="X"),Led!AV89,"")</f>
        <v/>
      </c>
      <c r="AI32" s="438"/>
      <c r="AJ32" s="449"/>
      <c r="AK32" s="8"/>
      <c r="AL32" s="8"/>
      <c r="AM32" s="11"/>
      <c r="AN32" s="8"/>
      <c r="AO32" s="8"/>
      <c r="AP32" s="8"/>
      <c r="AQ32" s="8"/>
      <c r="AR32" s="8"/>
    </row>
    <row r="33" spans="1:36" x14ac:dyDescent="0.2">
      <c r="A33" s="123" t="str">
        <f>IF($F$35="2x2","Block I-II",IF($F$35="1x4","Block I","Block I-IV"))</f>
        <v>Block I-II</v>
      </c>
      <c r="B33" s="97"/>
      <c r="C33" s="97"/>
      <c r="D33" s="97"/>
      <c r="E33" s="250" t="s">
        <v>149</v>
      </c>
      <c r="F33" s="291" t="str">
        <f>IF($F$35="2x2",CONCATENATE(1,"-",0.5*A$6,"&gt;&gt;"),IF($F$35="1x4",CONCATENATE(1,"-",0.25*A$6,"&gt;&gt;"),CONCATENATE(1,"-",A6,"&gt;&gt;")))</f>
        <v>1-14&gt;&gt;</v>
      </c>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438"/>
      <c r="AJ33" s="449"/>
    </row>
    <row r="34" spans="1:36" x14ac:dyDescent="0.2">
      <c r="A34" s="287" t="s">
        <v>474</v>
      </c>
      <c r="B34" s="97"/>
      <c r="C34" s="97"/>
      <c r="D34" s="97"/>
      <c r="E34" s="477"/>
      <c r="F34" s="66"/>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449"/>
    </row>
    <row r="35" spans="1:36" x14ac:dyDescent="0.2">
      <c r="A35" s="470" t="s">
        <v>919</v>
      </c>
      <c r="B35" s="141"/>
      <c r="C35" s="141"/>
      <c r="D35" s="141"/>
      <c r="E35" s="141"/>
      <c r="F35" s="937" t="s">
        <v>219</v>
      </c>
      <c r="G35" s="938"/>
      <c r="H35" s="481" t="s">
        <v>1206</v>
      </c>
      <c r="I35" s="201"/>
      <c r="J35" s="97"/>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449"/>
    </row>
    <row r="36" spans="1:36" x14ac:dyDescent="0.2">
      <c r="A36" s="470" t="s">
        <v>918</v>
      </c>
      <c r="B36" s="141"/>
      <c r="C36" s="141"/>
      <c r="D36" s="141"/>
      <c r="E36" s="141"/>
      <c r="F36" s="937" t="s">
        <v>2</v>
      </c>
      <c r="G36" s="938"/>
      <c r="H36" s="481" t="s">
        <v>1206</v>
      </c>
      <c r="I36" s="201"/>
      <c r="J36" s="97"/>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449"/>
    </row>
    <row r="37" spans="1:36" x14ac:dyDescent="0.2">
      <c r="A37" s="88"/>
      <c r="B37" s="64"/>
      <c r="C37" s="64"/>
      <c r="D37" s="64"/>
      <c r="E37" s="65"/>
      <c r="F37" s="66"/>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449"/>
    </row>
    <row r="38" spans="1:36" x14ac:dyDescent="0.2">
      <c r="A38" s="88"/>
      <c r="B38" s="64"/>
      <c r="C38" s="64"/>
      <c r="D38" s="64"/>
      <c r="E38" s="65"/>
      <c r="F38" s="66"/>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449"/>
    </row>
    <row r="39" spans="1:36" x14ac:dyDescent="0.2">
      <c r="A39" s="88"/>
      <c r="B39" s="64"/>
      <c r="C39" s="64"/>
      <c r="D39" s="64"/>
      <c r="E39" s="65"/>
      <c r="F39" s="66"/>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449"/>
    </row>
    <row r="40" spans="1:36" x14ac:dyDescent="0.2">
      <c r="A40" s="88"/>
      <c r="B40" s="64"/>
      <c r="C40" s="64"/>
      <c r="D40" s="64"/>
      <c r="E40" s="65"/>
      <c r="F40" s="66"/>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449"/>
    </row>
    <row r="41" spans="1:36" x14ac:dyDescent="0.2">
      <c r="A41" s="88"/>
      <c r="B41" s="64"/>
      <c r="C41" s="64"/>
      <c r="D41" s="64"/>
      <c r="E41" s="65"/>
      <c r="F41" s="66"/>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449"/>
    </row>
    <row r="42" spans="1:36" x14ac:dyDescent="0.2">
      <c r="A42" s="88"/>
      <c r="B42" s="64"/>
      <c r="C42" s="64"/>
      <c r="D42" s="64"/>
      <c r="E42" s="65"/>
      <c r="F42" s="66"/>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449"/>
    </row>
    <row r="43" spans="1:36" x14ac:dyDescent="0.2">
      <c r="A43" s="88"/>
      <c r="B43" s="64"/>
      <c r="C43" s="64"/>
      <c r="D43" s="64"/>
      <c r="E43" s="65"/>
      <c r="F43" s="66"/>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449"/>
    </row>
    <row r="44" spans="1:36" x14ac:dyDescent="0.2">
      <c r="A44" s="88"/>
      <c r="B44" s="64"/>
      <c r="C44" s="64"/>
      <c r="D44" s="64"/>
      <c r="E44" s="65"/>
      <c r="F44" s="66"/>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449"/>
    </row>
    <row r="45" spans="1:36" x14ac:dyDescent="0.2">
      <c r="A45" s="88"/>
      <c r="B45" s="64"/>
      <c r="C45" s="64"/>
      <c r="D45" s="64"/>
      <c r="E45" s="65"/>
      <c r="F45" s="66"/>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449"/>
    </row>
    <row r="46" spans="1:36" x14ac:dyDescent="0.2">
      <c r="A46" s="88"/>
      <c r="B46" s="64"/>
      <c r="C46" s="64"/>
      <c r="D46" s="64"/>
      <c r="E46" s="65"/>
      <c r="F46" s="66"/>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449"/>
    </row>
    <row r="47" spans="1:36" x14ac:dyDescent="0.2">
      <c r="A47" s="88"/>
      <c r="B47" s="64"/>
      <c r="C47" s="64"/>
      <c r="D47" s="64"/>
      <c r="E47" s="65"/>
      <c r="F47" s="66"/>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449"/>
    </row>
    <row r="48" spans="1:36" x14ac:dyDescent="0.2">
      <c r="A48" s="63"/>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449"/>
    </row>
    <row r="49" spans="1:44" x14ac:dyDescent="0.2">
      <c r="A49" s="63"/>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449"/>
    </row>
    <row r="50" spans="1:44" x14ac:dyDescent="0.2">
      <c r="A50" s="88"/>
      <c r="B50" s="64"/>
      <c r="C50" s="64"/>
      <c r="D50" s="64"/>
      <c r="E50" s="65"/>
      <c r="F50" s="66"/>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449"/>
    </row>
    <row r="51" spans="1:44" x14ac:dyDescent="0.2">
      <c r="A51" s="63"/>
      <c r="B51" s="64"/>
      <c r="C51" s="64"/>
      <c r="D51" s="64"/>
      <c r="E51" s="65"/>
      <c r="F51" s="66"/>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449"/>
    </row>
    <row r="52" spans="1:44" x14ac:dyDescent="0.2">
      <c r="A52" s="63"/>
      <c r="B52" s="64"/>
      <c r="C52" s="64"/>
      <c r="D52" s="64"/>
      <c r="E52" s="65"/>
      <c r="F52" s="66"/>
      <c r="G52" s="9"/>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449"/>
    </row>
    <row r="53" spans="1:44" x14ac:dyDescent="0.2">
      <c r="A53" s="63"/>
      <c r="B53" s="64"/>
      <c r="C53" s="64"/>
      <c r="D53" s="64"/>
      <c r="E53" s="65"/>
      <c r="F53" s="66"/>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341"/>
    </row>
    <row r="54" spans="1:44" s="4" customFormat="1" ht="11.25" x14ac:dyDescent="0.2">
      <c r="A54" s="217" t="s">
        <v>25</v>
      </c>
      <c r="B54" s="218"/>
      <c r="C54" s="218"/>
      <c r="D54" s="218"/>
      <c r="E54" s="218"/>
      <c r="F54" s="921" t="str">
        <f>IF(ISBLANK(H102),"",H102)</f>
        <v/>
      </c>
      <c r="G54" s="921"/>
      <c r="H54" s="921"/>
      <c r="I54" s="218" t="s">
        <v>24</v>
      </c>
      <c r="J54" s="920" t="str">
        <f>IF(ISBLANK(H103),"",H103)</f>
        <v/>
      </c>
      <c r="K54" s="920"/>
      <c r="L54" s="471" t="s">
        <v>23</v>
      </c>
      <c r="M54" s="218"/>
      <c r="N54" s="218"/>
      <c r="O54" s="924" t="str">
        <f>IF(ISBLANK(H104),"",H104)</f>
        <v/>
      </c>
      <c r="P54" s="924"/>
      <c r="Q54" s="924"/>
      <c r="R54" s="924"/>
      <c r="S54" s="924"/>
      <c r="T54" s="924"/>
      <c r="U54" s="924"/>
      <c r="V54" s="925"/>
      <c r="W54" s="218" t="s">
        <v>1207</v>
      </c>
      <c r="X54" s="218"/>
      <c r="Y54" s="218"/>
      <c r="Z54" s="218"/>
      <c r="AA54" s="218"/>
      <c r="AB54" s="218"/>
      <c r="AC54" s="218"/>
      <c r="AD54" s="218"/>
      <c r="AE54" s="218"/>
      <c r="AF54" s="218"/>
      <c r="AG54" s="218"/>
      <c r="AH54" s="218"/>
      <c r="AI54" s="218"/>
      <c r="AJ54" s="460"/>
      <c r="AK54" s="308"/>
      <c r="AL54" s="308"/>
      <c r="AM54" s="308"/>
      <c r="AN54" s="308"/>
      <c r="AO54" s="308"/>
      <c r="AP54" s="308"/>
      <c r="AQ54" s="308"/>
      <c r="AR54" s="308"/>
    </row>
    <row r="55" spans="1:44" s="2" customFormat="1" x14ac:dyDescent="0.2">
      <c r="A55" s="922" t="s">
        <v>472</v>
      </c>
      <c r="B55" s="923"/>
      <c r="C55" s="923"/>
      <c r="D55" s="923"/>
      <c r="E55" s="923"/>
      <c r="F55" s="923"/>
      <c r="G55" s="931" t="str">
        <f>IF(ISBLANK(H105),"",H105)</f>
        <v/>
      </c>
      <c r="H55" s="931"/>
      <c r="I55" s="102"/>
      <c r="J55" s="102"/>
      <c r="K55" s="102"/>
      <c r="L55" s="102"/>
      <c r="M55" s="102"/>
      <c r="N55" s="102"/>
      <c r="O55" s="102"/>
      <c r="P55" s="102"/>
      <c r="Q55" s="102"/>
      <c r="R55" s="204" t="s">
        <v>478</v>
      </c>
      <c r="S55" s="204"/>
      <c r="T55" s="204"/>
      <c r="U55" s="103"/>
      <c r="V55" s="221"/>
      <c r="W55" s="101" t="s">
        <v>7</v>
      </c>
      <c r="X55" s="940" t="str">
        <f>IF(ISBLANK(H100),"",H100)</f>
        <v>55.365576</v>
      </c>
      <c r="Y55" s="940"/>
      <c r="Z55" s="940"/>
      <c r="AA55" s="940"/>
      <c r="AB55" s="103"/>
      <c r="AC55" s="103"/>
      <c r="AD55" s="290" t="s">
        <v>8</v>
      </c>
      <c r="AE55" s="940" t="str">
        <f>IF(ISBLANK(H101),"",H101)</f>
        <v>13.376241</v>
      </c>
      <c r="AF55" s="940"/>
      <c r="AG55" s="940"/>
      <c r="AH55" s="940"/>
      <c r="AI55" s="102"/>
      <c r="AJ55" s="478"/>
      <c r="AK55" s="9"/>
      <c r="AL55" s="9"/>
      <c r="AM55" s="9"/>
      <c r="AN55" s="9"/>
      <c r="AO55" s="9"/>
      <c r="AP55" s="9"/>
      <c r="AQ55" s="9"/>
      <c r="AR55" s="9"/>
    </row>
    <row r="56" spans="1:44" s="5" customFormat="1" ht="11.25" x14ac:dyDescent="0.2">
      <c r="A56" s="79" t="s">
        <v>9</v>
      </c>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479"/>
      <c r="AK56" s="136"/>
      <c r="AL56" s="136"/>
      <c r="AM56" s="136"/>
      <c r="AN56" s="136"/>
      <c r="AO56" s="136"/>
      <c r="AP56" s="136"/>
      <c r="AQ56" s="136"/>
      <c r="AR56" s="136"/>
    </row>
    <row r="57" spans="1:44" s="5" customFormat="1" ht="11.25" x14ac:dyDescent="0.2">
      <c r="A57" s="104" t="s">
        <v>471</v>
      </c>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479"/>
      <c r="AK57" s="136"/>
      <c r="AL57" s="136"/>
      <c r="AM57" s="136"/>
      <c r="AN57" s="136"/>
      <c r="AO57" s="136"/>
      <c r="AP57" s="136"/>
      <c r="AQ57" s="136"/>
      <c r="AR57" s="136"/>
    </row>
    <row r="58" spans="1:44" s="106" customFormat="1" ht="13.5" customHeight="1" x14ac:dyDescent="0.2">
      <c r="A58" s="125" t="s">
        <v>10</v>
      </c>
      <c r="B58" s="126"/>
      <c r="C58" s="126"/>
      <c r="D58" s="929">
        <f>IF(H110&gt;0,H110,"")</f>
        <v>3</v>
      </c>
      <c r="E58" s="929"/>
      <c r="F58" s="127" t="s">
        <v>11</v>
      </c>
      <c r="G58" s="929">
        <f>IF(H111&gt;0,H111,"")</f>
        <v>12</v>
      </c>
      <c r="H58" s="929"/>
      <c r="I58" s="128" t="s">
        <v>12</v>
      </c>
      <c r="J58" s="929">
        <f>IF(ISNUMBER(D58),D58*G58,"")</f>
        <v>36</v>
      </c>
      <c r="K58" s="929"/>
      <c r="L58" s="126" t="s">
        <v>41</v>
      </c>
      <c r="M58" s="129"/>
      <c r="N58" s="126"/>
      <c r="O58" s="130" t="s">
        <v>16</v>
      </c>
      <c r="P58" s="220" t="str">
        <f>H89</f>
        <v>Vårkorn</v>
      </c>
      <c r="Q58" s="126"/>
      <c r="R58" s="126"/>
      <c r="S58" s="126"/>
      <c r="T58" s="126" t="s">
        <v>18</v>
      </c>
      <c r="U58" s="126"/>
      <c r="V58" s="114" t="str">
        <f>IF(ISBLANK(H106),"",H106)</f>
        <v/>
      </c>
      <c r="W58" s="126"/>
      <c r="X58" s="114"/>
      <c r="Y58" s="114"/>
      <c r="Z58" s="126"/>
      <c r="AA58" s="126"/>
      <c r="AB58" s="126" t="s">
        <v>19</v>
      </c>
      <c r="AC58" s="126"/>
      <c r="AD58" s="126"/>
      <c r="AE58" s="126"/>
      <c r="AF58" s="126"/>
      <c r="AG58" s="933" t="str">
        <f>IF(ISBLANK(H107),"",H107)</f>
        <v/>
      </c>
      <c r="AH58" s="933"/>
      <c r="AI58" s="933"/>
      <c r="AJ58" s="934"/>
      <c r="AK58" s="280"/>
      <c r="AL58" s="280"/>
      <c r="AM58" s="280"/>
      <c r="AN58" s="280"/>
      <c r="AO58" s="280"/>
      <c r="AP58" s="280"/>
      <c r="AQ58" s="280"/>
      <c r="AR58" s="280"/>
    </row>
    <row r="59" spans="1:44" s="106" customFormat="1" ht="12" x14ac:dyDescent="0.2">
      <c r="A59" s="131" t="str">
        <f>IF(PM!$E$101=0,"","Nettoyta:")</f>
        <v>Nettoyta:</v>
      </c>
      <c r="B59" s="132"/>
      <c r="C59" s="132"/>
      <c r="D59" s="930" t="str">
        <f>IF(H112&gt;0,H112,"")</f>
        <v>2.04</v>
      </c>
      <c r="E59" s="930"/>
      <c r="F59" s="137" t="str">
        <f>IF(PM!$E$101=0,"","x")</f>
        <v>x</v>
      </c>
      <c r="G59" s="930">
        <f>IF(H113&gt;0,H113,"")</f>
        <v>8</v>
      </c>
      <c r="H59" s="930"/>
      <c r="I59" s="137" t="str">
        <f>IF(PM!$E$101=0,"","=")</f>
        <v>=</v>
      </c>
      <c r="J59" s="930" t="str">
        <f>IF(ISNUMBER(D59),D59*G59,"")</f>
        <v/>
      </c>
      <c r="K59" s="930"/>
      <c r="L59" s="132" t="str">
        <f>IF(PM!$E$101=0,"","m²")</f>
        <v>m²</v>
      </c>
      <c r="M59" s="133"/>
      <c r="N59" s="132"/>
      <c r="O59" s="134" t="s">
        <v>794</v>
      </c>
      <c r="P59" s="930" t="str">
        <f>IF(ISBLANK(H109),"",H109)</f>
        <v/>
      </c>
      <c r="Q59" s="930"/>
      <c r="R59" s="295" t="s">
        <v>377</v>
      </c>
      <c r="S59" s="295"/>
      <c r="T59" s="132" t="s">
        <v>922</v>
      </c>
      <c r="U59" s="132"/>
      <c r="V59" s="132" t="str">
        <f>IF(ISBLANK(H115),"",H115)</f>
        <v/>
      </c>
      <c r="W59" s="135"/>
      <c r="X59" s="135"/>
      <c r="Y59" s="135"/>
      <c r="Z59" s="132"/>
      <c r="AA59" s="132"/>
      <c r="AB59" s="132" t="s">
        <v>470</v>
      </c>
      <c r="AC59" s="132"/>
      <c r="AD59" s="132"/>
      <c r="AE59" s="132"/>
      <c r="AF59" s="132"/>
      <c r="AG59" s="132"/>
      <c r="AH59" s="132"/>
      <c r="AI59" s="935" t="str">
        <f>IF(H108&gt;0,H108,"")</f>
        <v/>
      </c>
      <c r="AJ59" s="936"/>
      <c r="AK59" s="280"/>
      <c r="AL59" s="280"/>
      <c r="AM59" s="280"/>
      <c r="AN59" s="280"/>
      <c r="AO59" s="280"/>
      <c r="AP59" s="280"/>
      <c r="AQ59" s="280"/>
      <c r="AR59" s="280"/>
    </row>
    <row r="60" spans="1:44" ht="15.75" x14ac:dyDescent="0.25">
      <c r="A60" s="926" t="s">
        <v>644</v>
      </c>
      <c r="B60" s="927"/>
      <c r="C60" s="927"/>
      <c r="D60" s="927"/>
      <c r="E60" s="927"/>
      <c r="F60" s="927"/>
      <c r="G60" s="927"/>
      <c r="H60" s="927"/>
      <c r="I60" s="927"/>
      <c r="J60" s="927"/>
      <c r="K60" s="927"/>
      <c r="L60" s="927"/>
      <c r="M60" s="927"/>
      <c r="N60" s="927"/>
      <c r="O60" s="927"/>
      <c r="P60" s="927"/>
      <c r="Q60" s="927"/>
      <c r="R60" s="927"/>
      <c r="S60" s="927"/>
      <c r="T60" s="927"/>
      <c r="U60" s="927"/>
      <c r="V60" s="927"/>
      <c r="W60" s="927"/>
      <c r="X60" s="927"/>
      <c r="Y60" s="927"/>
      <c r="Z60" s="927"/>
      <c r="AA60" s="927"/>
      <c r="AB60" s="927"/>
      <c r="AC60" s="927"/>
      <c r="AD60" s="927"/>
      <c r="AE60" s="927"/>
      <c r="AF60" s="927"/>
      <c r="AG60" s="928"/>
      <c r="AH60" s="928"/>
      <c r="AI60" s="928"/>
      <c r="AJ60" s="449"/>
    </row>
    <row r="61" spans="1:44" x14ac:dyDescent="0.2">
      <c r="A61" s="120"/>
      <c r="B61" s="121" t="s">
        <v>473</v>
      </c>
      <c r="C61" s="108"/>
      <c r="D61" s="108"/>
      <c r="E61" s="108"/>
      <c r="F61" s="108"/>
      <c r="G61" s="107"/>
      <c r="H61" s="97"/>
      <c r="I61" s="121" t="s">
        <v>14</v>
      </c>
      <c r="J61" s="108"/>
      <c r="K61" s="108"/>
      <c r="L61" s="97"/>
      <c r="M61" s="121" t="s">
        <v>15</v>
      </c>
      <c r="N61" s="108"/>
      <c r="O61" s="108"/>
      <c r="P61" s="143" t="s">
        <v>147</v>
      </c>
      <c r="Q61" s="97"/>
      <c r="R61" s="97"/>
      <c r="S61" s="117" t="s">
        <v>643</v>
      </c>
      <c r="T61" s="97"/>
      <c r="U61" s="97"/>
      <c r="V61" s="97"/>
      <c r="W61" s="97"/>
      <c r="X61" s="97"/>
      <c r="Y61" s="97"/>
      <c r="Z61" s="97"/>
      <c r="AA61" s="118" t="s">
        <v>15</v>
      </c>
      <c r="AB61" s="97"/>
      <c r="AC61" s="97"/>
      <c r="AD61" s="118" t="s">
        <v>14</v>
      </c>
      <c r="AE61" s="97"/>
      <c r="AF61" s="97"/>
      <c r="AG61" s="97"/>
      <c r="AH61" s="119" t="s">
        <v>147</v>
      </c>
      <c r="AI61" s="97"/>
      <c r="AJ61" s="449"/>
    </row>
    <row r="62" spans="1:44" x14ac:dyDescent="0.2">
      <c r="A62" s="123" t="str">
        <f>IF(PM!AF$9&gt;0,"T1","")</f>
        <v>T1</v>
      </c>
      <c r="B62" s="97"/>
      <c r="C62" s="817" t="str">
        <f>IF(ISBLANK(Sprutj!D5),"",Sprutj!D5)</f>
        <v>2-7</v>
      </c>
      <c r="D62" s="817"/>
      <c r="E62" s="817"/>
      <c r="F62" s="817"/>
      <c r="G62" s="817"/>
      <c r="H62" s="818"/>
      <c r="I62" s="909">
        <f>IF(ISBLANK(Sprutj!D2),"",Sprutj!D2)</f>
        <v>41796</v>
      </c>
      <c r="J62" s="909"/>
      <c r="K62" s="909"/>
      <c r="L62" s="97"/>
      <c r="M62" s="915">
        <f>IF(ISBLANK(Sprutj!D$18),"",Sprutj!D$18)</f>
        <v>37</v>
      </c>
      <c r="N62" s="915"/>
      <c r="O62" s="915"/>
      <c r="P62" s="98" t="str">
        <f>IF(ISBLANK(Sprutj!D4),"",Sprutj!D4)</f>
        <v>JMY</v>
      </c>
      <c r="Q62" s="97"/>
      <c r="R62" s="97"/>
      <c r="S62" s="122" t="str">
        <f>A62</f>
        <v>T1</v>
      </c>
      <c r="T62" s="910"/>
      <c r="U62" s="910"/>
      <c r="V62" s="910"/>
      <c r="W62" s="910"/>
      <c r="X62" s="910"/>
      <c r="Y62" s="910"/>
      <c r="Z62" s="910"/>
      <c r="AA62" s="915">
        <f>IF(M62&gt;0,M62,"")</f>
        <v>37</v>
      </c>
      <c r="AB62" s="915"/>
      <c r="AC62" s="98"/>
      <c r="AD62" s="909" t="str">
        <f>IF(ISBLANK('T1'!I$6),"",'T1'!I$6)</f>
        <v/>
      </c>
      <c r="AE62" s="909"/>
      <c r="AF62" s="909"/>
      <c r="AG62" s="909" t="str">
        <f>IF(ISBLANK('T1'!M$6),"",'T1'!M$6)</f>
        <v/>
      </c>
      <c r="AH62" s="909"/>
      <c r="AI62" s="909"/>
      <c r="AJ62" s="449"/>
    </row>
    <row r="63" spans="1:44" x14ac:dyDescent="0.2">
      <c r="A63" s="123" t="str">
        <f>IF(PM!AF$9&gt;1,"T2","")</f>
        <v/>
      </c>
      <c r="B63" s="97"/>
      <c r="C63" s="817" t="str">
        <f>IF(ISBLANK(Sprutj!H5),"",Sprutj!H5)</f>
        <v/>
      </c>
      <c r="D63" s="817"/>
      <c r="E63" s="817"/>
      <c r="F63" s="817"/>
      <c r="G63" s="817"/>
      <c r="H63" s="818"/>
      <c r="I63" s="909" t="str">
        <f>IF(ISBLANK(Sprutj!H2),"",Sprutj!H2)</f>
        <v/>
      </c>
      <c r="J63" s="909"/>
      <c r="K63" s="909"/>
      <c r="L63" s="97"/>
      <c r="M63" s="915" t="str">
        <f>IF(ISBLANK(Sprutj!H$18),"",Sprutj!H$18)</f>
        <v/>
      </c>
      <c r="N63" s="915"/>
      <c r="O63" s="915"/>
      <c r="P63" s="98" t="str">
        <f>IF(ISBLANK(Sprutj!H4),"",Sprutj!H4)</f>
        <v/>
      </c>
      <c r="Q63" s="97"/>
      <c r="R63" s="97"/>
      <c r="S63" s="122" t="str">
        <f>A63</f>
        <v/>
      </c>
      <c r="T63" s="910"/>
      <c r="U63" s="910"/>
      <c r="V63" s="910"/>
      <c r="W63" s="910"/>
      <c r="X63" s="910"/>
      <c r="Y63" s="910"/>
      <c r="Z63" s="910"/>
      <c r="AA63" s="915" t="str">
        <f>IF(M63&gt;0,M63,"")</f>
        <v/>
      </c>
      <c r="AB63" s="915"/>
      <c r="AC63" s="98"/>
      <c r="AD63" s="909"/>
      <c r="AE63" s="909"/>
      <c r="AF63" s="909"/>
      <c r="AG63" s="909"/>
      <c r="AH63" s="909"/>
      <c r="AI63" s="909"/>
      <c r="AJ63" s="449"/>
    </row>
    <row r="64" spans="1:44" ht="12.75" customHeight="1" x14ac:dyDescent="0.2">
      <c r="A64" s="123" t="str">
        <f>IF(PM!AF$9&gt;2,"T3","")</f>
        <v/>
      </c>
      <c r="B64" s="97"/>
      <c r="C64" s="817" t="str">
        <f>IF(ISBLANK(Sprutj!L5),"",Sprutj!L5)</f>
        <v/>
      </c>
      <c r="D64" s="817"/>
      <c r="E64" s="817"/>
      <c r="F64" s="817"/>
      <c r="G64" s="819"/>
      <c r="H64" s="818"/>
      <c r="I64" s="909" t="str">
        <f>IF(ISBLANK(Sprutj!L2),"",Sprutj!L2)</f>
        <v/>
      </c>
      <c r="J64" s="909"/>
      <c r="K64" s="909"/>
      <c r="L64" s="97"/>
      <c r="M64" s="915" t="str">
        <f>IF(ISBLANK(Sprutj!L$18),"",Sprutj!L$18)</f>
        <v/>
      </c>
      <c r="N64" s="915"/>
      <c r="O64" s="915"/>
      <c r="P64" s="98" t="str">
        <f>IF(ISBLANK(Sprutj!L4),"",Sprutj!L4)</f>
        <v/>
      </c>
      <c r="Q64" s="97"/>
      <c r="R64" s="97"/>
      <c r="S64" s="122" t="str">
        <f>A64</f>
        <v/>
      </c>
      <c r="T64" s="910"/>
      <c r="U64" s="910"/>
      <c r="V64" s="910"/>
      <c r="W64" s="910"/>
      <c r="X64" s="910"/>
      <c r="Y64" s="910"/>
      <c r="Z64" s="910"/>
      <c r="AA64" s="915" t="str">
        <f>IF(M64&gt;0,M64,"")</f>
        <v/>
      </c>
      <c r="AB64" s="915"/>
      <c r="AC64" s="98"/>
      <c r="AD64" s="909"/>
      <c r="AE64" s="909"/>
      <c r="AF64" s="909"/>
      <c r="AG64" s="909"/>
      <c r="AH64" s="909"/>
      <c r="AI64" s="909"/>
      <c r="AJ64" s="449"/>
    </row>
    <row r="65" spans="1:44" s="6" customFormat="1" hidden="1" x14ac:dyDescent="0.2">
      <c r="A65" s="222"/>
      <c r="B65" s="223"/>
      <c r="C65" s="223"/>
      <c r="D65" s="223"/>
      <c r="E65" s="223"/>
      <c r="F65" s="223"/>
      <c r="G65" s="223"/>
      <c r="H65" s="223"/>
      <c r="I65" s="223"/>
      <c r="J65" s="223"/>
      <c r="K65" s="223"/>
      <c r="L65" s="223"/>
      <c r="M65" s="223"/>
      <c r="N65" s="223"/>
      <c r="O65" s="223"/>
      <c r="P65" s="223"/>
      <c r="Q65" s="223"/>
      <c r="R65" s="223"/>
      <c r="S65" s="224" t="s">
        <v>480</v>
      </c>
      <c r="T65" s="223"/>
      <c r="U65" s="223"/>
      <c r="V65" s="223"/>
      <c r="W65" s="223"/>
      <c r="X65" s="223"/>
      <c r="Y65" s="223"/>
      <c r="Z65" s="223"/>
      <c r="AA65" s="223"/>
      <c r="AB65" s="223"/>
      <c r="AC65" s="223"/>
      <c r="AD65" s="223"/>
      <c r="AE65" s="223"/>
      <c r="AF65" s="223"/>
      <c r="AG65" s="223"/>
      <c r="AH65" s="223"/>
      <c r="AI65" s="223"/>
      <c r="AJ65" s="225"/>
      <c r="AK65" s="11"/>
      <c r="AL65" s="11"/>
      <c r="AM65" s="11"/>
      <c r="AN65" s="11"/>
      <c r="AO65" s="11"/>
      <c r="AP65" s="11"/>
      <c r="AQ65" s="11"/>
      <c r="AR65" s="11"/>
    </row>
    <row r="66" spans="1:44" hidden="1" x14ac:dyDescent="0.2">
      <c r="A66" s="283" t="s">
        <v>479</v>
      </c>
      <c r="B66" s="110"/>
      <c r="C66" s="110"/>
      <c r="D66" s="110"/>
      <c r="E66" s="110"/>
      <c r="F66" s="110"/>
      <c r="G66" s="111"/>
      <c r="H66" s="110"/>
      <c r="I66" s="110"/>
      <c r="J66" s="115" t="s">
        <v>14</v>
      </c>
      <c r="K66" s="115"/>
      <c r="L66" s="115"/>
      <c r="M66" s="914" t="s">
        <v>15</v>
      </c>
      <c r="N66" s="914"/>
      <c r="O66" s="914"/>
      <c r="P66" s="111" t="s">
        <v>147</v>
      </c>
      <c r="Q66" s="110"/>
      <c r="R66" s="110"/>
      <c r="S66" s="283" t="str">
        <f>IF(PM!$D$70&gt;3,"Behandlingsskador","")</f>
        <v/>
      </c>
      <c r="T66" s="110"/>
      <c r="U66" s="110"/>
      <c r="V66" s="110"/>
      <c r="W66" s="110"/>
      <c r="X66" s="110"/>
      <c r="Y66" s="111" t="str">
        <f>IF(PM!$AI$73="F4","Alla=0?","")</f>
        <v/>
      </c>
      <c r="Z66" s="110"/>
      <c r="AA66" s="110"/>
      <c r="AB66" s="111" t="str">
        <f>IF(PM!$D$70&gt;3,"Mån-Dag","")</f>
        <v/>
      </c>
      <c r="AC66" s="115"/>
      <c r="AD66" s="115"/>
      <c r="AE66" s="116"/>
      <c r="AF66" s="954" t="str">
        <f>IF(PM!$D$70&gt;3,"BBCH","")</f>
        <v/>
      </c>
      <c r="AG66" s="954"/>
      <c r="AH66" s="111" t="str">
        <f>IF(PM!$D$70&gt;3,"Sign","")</f>
        <v/>
      </c>
      <c r="AI66" s="110"/>
      <c r="AJ66" s="112"/>
    </row>
    <row r="67" spans="1:44" hidden="1" x14ac:dyDescent="0.2">
      <c r="A67" s="138" t="str">
        <f>PM!H70</f>
        <v/>
      </c>
      <c r="B67" s="298" t="str">
        <f>IF(OR(PM!D$70=0,PM!J70=0),"",PM!J70)</f>
        <v/>
      </c>
      <c r="C67" s="289" t="str">
        <f>IF(OR(PM!D70=0,PM!K70=0),"",PM!K70)</f>
        <v/>
      </c>
      <c r="D67" s="292"/>
      <c r="E67" s="292"/>
      <c r="F67" s="292"/>
      <c r="G67" s="292"/>
      <c r="H67" s="293"/>
      <c r="I67" s="293"/>
      <c r="J67" s="911" t="str">
        <f>IF(PM!$D$70&gt;0,VLOOKUP(A67,$AK$115:$AN$129,2),"")</f>
        <v/>
      </c>
      <c r="K67" s="911"/>
      <c r="L67" s="911"/>
      <c r="M67" s="292"/>
      <c r="N67" s="912" t="str">
        <f>IF(PM!$D$70&gt;0,VLOOKUP(A67,$AK$115:$AN$129,3),"")</f>
        <v/>
      </c>
      <c r="O67" s="912"/>
      <c r="P67" s="913" t="str">
        <f>IF(PM!$D$70&gt;0,VLOOKUP(A67,$AK$115:$AN$129,4),"")</f>
        <v/>
      </c>
      <c r="Q67" s="913"/>
      <c r="R67" s="110"/>
      <c r="S67" s="138" t="str">
        <f>PM!H73</f>
        <v/>
      </c>
      <c r="T67" s="203" t="str">
        <f>IF(OR(PM!D$70&lt;4,PM!J73=0),"",PM!J73)</f>
        <v/>
      </c>
      <c r="U67" s="289" t="str">
        <f>IF(OR(PM!D$70&lt;4,PM!K73=0),"",PM!K73)</f>
        <v/>
      </c>
      <c r="V67" s="292"/>
      <c r="W67" s="292"/>
      <c r="X67" s="292"/>
      <c r="Y67" s="292"/>
      <c r="Z67" s="186"/>
      <c r="AA67" s="186"/>
      <c r="AB67" s="951" t="str">
        <f>IF(PM!$D$70&gt;3,VLOOKUP(S67,$AK$115:$AN$129,2),"")</f>
        <v/>
      </c>
      <c r="AC67" s="951"/>
      <c r="AD67" s="951"/>
      <c r="AE67" s="116"/>
      <c r="AF67" s="953" t="str">
        <f>IF(PM!$D$70&gt;3,VLOOKUP(S67,$AK$115:$AN$129,3),"")</f>
        <v/>
      </c>
      <c r="AG67" s="953"/>
      <c r="AH67" s="913" t="str">
        <f>IF(PM!$D$70&gt;3,VLOOKUP(S67,$AK$115:$AN$129,4),"")</f>
        <v/>
      </c>
      <c r="AI67" s="913"/>
      <c r="AJ67" s="112"/>
    </row>
    <row r="68" spans="1:44" ht="12.75" hidden="1" customHeight="1" x14ac:dyDescent="0.2">
      <c r="A68" s="138" t="str">
        <f>PM!H71</f>
        <v/>
      </c>
      <c r="B68" s="298" t="str">
        <f>IF(OR(PM!D70&lt;2,PM!J71=0),"",PM!J71)</f>
        <v/>
      </c>
      <c r="C68" s="289" t="str">
        <f>IF(OR(PM!D70&lt;2,PM!K71=0),"",PM!K71)</f>
        <v/>
      </c>
      <c r="D68" s="292"/>
      <c r="E68" s="292"/>
      <c r="F68" s="292"/>
      <c r="G68" s="293"/>
      <c r="H68" s="293"/>
      <c r="I68" s="293"/>
      <c r="J68" s="911" t="str">
        <f>IF(PM!$D$70&gt;1,VLOOKUP(A68,$AK$115:$AN$129,2),"")</f>
        <v/>
      </c>
      <c r="K68" s="911"/>
      <c r="L68" s="911"/>
      <c r="M68" s="294"/>
      <c r="N68" s="912" t="str">
        <f>IF(PM!$D$70&gt;1,VLOOKUP(A68,$AK$115:$AN$129,3),"")</f>
        <v/>
      </c>
      <c r="O68" s="912"/>
      <c r="P68" s="913" t="str">
        <f>IF(PM!$D$70&gt;1,VLOOKUP(A68,$AK$115:$AN$129,4),"")</f>
        <v/>
      </c>
      <c r="Q68" s="913"/>
      <c r="R68" s="110"/>
      <c r="S68" s="138" t="str">
        <f>PM!H74</f>
        <v/>
      </c>
      <c r="T68" s="203" t="str">
        <f>IF(OR(PM!D$70&lt;5,PM!J74=0),"",PM!J74)</f>
        <v/>
      </c>
      <c r="U68" s="289" t="str">
        <f>IF(OR(PM!D$70&lt;5,PM!K74=0),"",PM!K74)</f>
        <v/>
      </c>
      <c r="V68" s="292"/>
      <c r="W68" s="292"/>
      <c r="X68" s="292"/>
      <c r="Y68" s="293"/>
      <c r="Z68" s="186"/>
      <c r="AA68" s="186"/>
      <c r="AB68" s="951" t="str">
        <f>IF(PM!$D$70&gt;4,VLOOKUP(S68,$AK$115:$AN$129,2),"")</f>
        <v/>
      </c>
      <c r="AC68" s="951"/>
      <c r="AD68" s="951"/>
      <c r="AE68" s="116"/>
      <c r="AF68" s="953" t="str">
        <f>IF(PM!$D$70&gt;4,VLOOKUP(S68,$AK$115:$AN$129,3),"")</f>
        <v/>
      </c>
      <c r="AG68" s="953"/>
      <c r="AH68" s="913" t="str">
        <f>IF(PM!$D$70&gt;4,VLOOKUP(S68,$AK$115:$AN$129,4),"")</f>
        <v/>
      </c>
      <c r="AI68" s="913"/>
      <c r="AJ68" s="112"/>
    </row>
    <row r="69" spans="1:44" hidden="1" x14ac:dyDescent="0.2">
      <c r="A69" s="138" t="str">
        <f>PM!H72</f>
        <v/>
      </c>
      <c r="B69" s="298" t="str">
        <f>IF(OR(PM!D70&lt;3,PM!J72=0),"",PM!J72)</f>
        <v/>
      </c>
      <c r="C69" s="289" t="str">
        <f>IF(OR(PM!D70&lt;3,PM!K72=0),"",PM!K72)</f>
        <v/>
      </c>
      <c r="D69" s="295"/>
      <c r="E69" s="295"/>
      <c r="F69" s="295"/>
      <c r="G69" s="296"/>
      <c r="H69" s="296"/>
      <c r="I69" s="296"/>
      <c r="J69" s="911" t="str">
        <f>IF(PM!$D$70&gt;2,VLOOKUP(A69,$AK$115:$AN$129,2),"")</f>
        <v/>
      </c>
      <c r="K69" s="911"/>
      <c r="L69" s="911"/>
      <c r="M69" s="297"/>
      <c r="N69" s="912" t="str">
        <f>IF(PM!$D$70&gt;2,VLOOKUP(A69,$AK$115:$AN$129,3),"")</f>
        <v/>
      </c>
      <c r="O69" s="912"/>
      <c r="P69" s="913" t="str">
        <f>IF(PM!$D$70&gt;2,VLOOKUP(A69,$AK$115:$AN$129,4),"")</f>
        <v/>
      </c>
      <c r="Q69" s="913"/>
      <c r="R69" s="113"/>
      <c r="S69" s="138" t="str">
        <f>PM!H75</f>
        <v/>
      </c>
      <c r="T69" s="203" t="str">
        <f>IF(OR(PM!D$70&lt;6,PM!J75=0),"",PM!J75)</f>
        <v/>
      </c>
      <c r="U69" s="289" t="str">
        <f>IF(OR(PM!D$70&lt;6,PM!K75=0),"",PM!K75)</f>
        <v/>
      </c>
      <c r="V69" s="113"/>
      <c r="W69" s="113"/>
      <c r="X69" s="113"/>
      <c r="Y69" s="113"/>
      <c r="Z69" s="187"/>
      <c r="AA69" s="187"/>
      <c r="AB69" s="951" t="str">
        <f>IF(PM!$D$70&gt;5,VLOOKUP(S69,$AK$115:$AN$129,2),"")</f>
        <v/>
      </c>
      <c r="AC69" s="951"/>
      <c r="AD69" s="951"/>
      <c r="AE69" s="113"/>
      <c r="AF69" s="953" t="str">
        <f>IF(PM!$D$70&gt;5,VLOOKUP(S69,$AK$115:$AN$129,3),"")</f>
        <v/>
      </c>
      <c r="AG69" s="953"/>
      <c r="AH69" s="913" t="str">
        <f>IF(PM!$D$70&gt;5,VLOOKUP(S69,$AK$115:$AN$129,4),"")</f>
        <v/>
      </c>
      <c r="AI69" s="913"/>
      <c r="AJ69" s="440"/>
    </row>
    <row r="70" spans="1:44" s="226" customFormat="1" x14ac:dyDescent="0.2">
      <c r="A70" s="536" t="s">
        <v>1116</v>
      </c>
      <c r="B70" s="537"/>
      <c r="C70" s="229"/>
      <c r="D70" s="229"/>
      <c r="E70" s="229"/>
      <c r="F70" s="229"/>
      <c r="G70" s="229"/>
      <c r="H70" s="229"/>
      <c r="I70" s="229"/>
      <c r="J70" s="229"/>
      <c r="K70" s="229"/>
      <c r="L70" s="229"/>
      <c r="M70" s="539" t="s">
        <v>1448</v>
      </c>
      <c r="N70" s="229"/>
      <c r="O70" s="229"/>
      <c r="P70" s="229"/>
      <c r="Q70" s="312"/>
      <c r="R70" s="231"/>
      <c r="S70" s="230" t="s">
        <v>1117</v>
      </c>
      <c r="T70" s="229"/>
      <c r="U70" s="229"/>
      <c r="V70" s="229"/>
      <c r="W70" s="229"/>
      <c r="X70" s="229"/>
      <c r="Y70" s="229"/>
      <c r="Z70" s="230" t="s">
        <v>1447</v>
      </c>
      <c r="AA70" s="229"/>
      <c r="AB70" s="229"/>
      <c r="AC70" s="229"/>
      <c r="AD70" s="229"/>
      <c r="AE70" s="229"/>
      <c r="AF70" s="229"/>
      <c r="AG70" s="229"/>
      <c r="AH70" s="229"/>
      <c r="AI70" s="229"/>
      <c r="AJ70" s="538"/>
      <c r="AK70" s="309"/>
      <c r="AL70" s="309"/>
      <c r="AM70" s="309"/>
      <c r="AN70" s="309"/>
      <c r="AO70" s="309"/>
      <c r="AP70" s="309"/>
      <c r="AQ70" s="309"/>
      <c r="AR70" s="309"/>
    </row>
    <row r="71" spans="1:44" hidden="1" x14ac:dyDescent="0.2">
      <c r="A71" s="245" t="s">
        <v>1155</v>
      </c>
      <c r="B71" s="97"/>
      <c r="C71" s="97"/>
      <c r="D71" s="97"/>
      <c r="E71" s="97"/>
      <c r="F71" s="97"/>
      <c r="G71" s="97"/>
      <c r="H71" s="97"/>
      <c r="I71" s="97"/>
      <c r="J71" s="97"/>
      <c r="K71" s="97"/>
      <c r="L71" s="227" t="s">
        <v>14</v>
      </c>
      <c r="M71" s="97"/>
      <c r="N71" s="227"/>
      <c r="O71" s="227" t="s">
        <v>15</v>
      </c>
      <c r="P71" s="97"/>
      <c r="Q71" s="118" t="s">
        <v>147</v>
      </c>
      <c r="R71" s="97"/>
      <c r="S71" s="228" t="s">
        <v>770</v>
      </c>
      <c r="T71" s="97"/>
      <c r="U71" s="227"/>
      <c r="V71" s="227"/>
      <c r="W71" s="227"/>
      <c r="X71" s="227"/>
      <c r="Y71" s="227"/>
      <c r="Z71" s="227"/>
      <c r="AA71" s="227"/>
      <c r="AB71" s="97"/>
      <c r="AD71" s="97"/>
      <c r="AF71" s="247" t="s">
        <v>14</v>
      </c>
      <c r="AG71" s="227" t="s">
        <v>15</v>
      </c>
      <c r="AI71" s="118" t="s">
        <v>147</v>
      </c>
      <c r="AJ71" s="341"/>
    </row>
    <row r="72" spans="1:44" hidden="1" x14ac:dyDescent="0.2">
      <c r="A72" s="172" t="str">
        <f>IF(ISBLANK(PM!H81),"",PM!G81)</f>
        <v/>
      </c>
      <c r="B72" s="459"/>
      <c r="C72" s="250" t="str">
        <f>IF(ISBLANK(PM!J81),"",PM!J81)</f>
        <v>T3</v>
      </c>
      <c r="D72" s="141" t="str">
        <f>IF(ISBLANK(PM!K81),"",PM!K81)</f>
        <v>+14-21 dagar</v>
      </c>
      <c r="E72" s="108"/>
      <c r="F72" s="108"/>
      <c r="G72" s="201"/>
      <c r="H72" s="201"/>
      <c r="I72" s="201"/>
      <c r="J72" s="201"/>
      <c r="K72" s="97"/>
      <c r="L72" s="909" t="e">
        <f>VLOOKUP($A72,$AK$116:$AN$134,2)</f>
        <v>#N/A</v>
      </c>
      <c r="M72" s="909"/>
      <c r="N72" s="909"/>
      <c r="O72" s="946" t="e">
        <f>VLOOKUP($A72,$AK$116:$AN$134,3)</f>
        <v>#N/A</v>
      </c>
      <c r="P72" s="946"/>
      <c r="Q72" s="909" t="e">
        <f>VLOOKUP($A72,$AK$116:$AN$134,4)</f>
        <v>#N/A</v>
      </c>
      <c r="R72" s="947"/>
      <c r="S72" s="140" t="str">
        <f>IF(ISBLANK(PM!H89),"",PM!H89)</f>
        <v>G1:</v>
      </c>
      <c r="T72" s="200" t="str">
        <f>IF(ISBLANK(PM!J89),"",PM!J89)</f>
        <v>T3</v>
      </c>
      <c r="U72" s="199" t="str">
        <f>IF(ISBLANK(PM!K89),"",PM!K89)</f>
        <v>+14-21 dagar</v>
      </c>
      <c r="V72" s="3"/>
      <c r="W72" s="97"/>
      <c r="X72" s="97"/>
      <c r="Y72" s="199" t="s">
        <v>1174</v>
      </c>
      <c r="Z72" s="97"/>
      <c r="AA72" s="142"/>
      <c r="AB72" s="97"/>
      <c r="AC72" s="300"/>
      <c r="AD72" s="142"/>
      <c r="AE72" s="950" t="str">
        <f>VLOOKUP($S72,$AK$116:$AN$134,2)</f>
        <v/>
      </c>
      <c r="AF72" s="950"/>
      <c r="AG72" s="946" t="str">
        <f>VLOOKUP($S72,$AK$116:$AN$134,3)</f>
        <v/>
      </c>
      <c r="AH72" s="946"/>
      <c r="AI72" s="98" t="str">
        <f>VLOOKUP($S72,$AK$116:$AN$134,4)</f>
        <v/>
      </c>
      <c r="AJ72" s="449"/>
    </row>
    <row r="73" spans="1:44" hidden="1" x14ac:dyDescent="0.2">
      <c r="A73" s="172" t="str">
        <f>IF(ISBLANK(PM!H82),"",PM!G82)</f>
        <v/>
      </c>
      <c r="B73" s="459"/>
      <c r="C73" s="250" t="str">
        <f>IF(ISBLANK(PM!J82),"",PM!J82)</f>
        <v>T3</v>
      </c>
      <c r="D73" s="141" t="str">
        <f>IF(ISBLANK(PM!K82),"",PM!K82)</f>
        <v>+28-42 dagar</v>
      </c>
      <c r="E73" s="108"/>
      <c r="F73" s="108"/>
      <c r="G73" s="201"/>
      <c r="H73" s="201"/>
      <c r="I73" s="201"/>
      <c r="J73" s="201"/>
      <c r="K73" s="97"/>
      <c r="L73" s="909" t="e">
        <f t="shared" ref="L73:L77" si="0">VLOOKUP($A73,$AK$116:$AN$134,2)</f>
        <v>#N/A</v>
      </c>
      <c r="M73" s="909"/>
      <c r="N73" s="909"/>
      <c r="O73" s="946" t="e">
        <f t="shared" ref="O73:O77" si="1">VLOOKUP($A73,$AK$116:$AN$134,3)</f>
        <v>#N/A</v>
      </c>
      <c r="P73" s="946"/>
      <c r="Q73" s="909" t="e">
        <f t="shared" ref="Q73:Q77" si="2">VLOOKUP($A73,$AK$116:$AN$134,4)</f>
        <v>#N/A</v>
      </c>
      <c r="R73" s="947"/>
      <c r="S73" s="140" t="str">
        <f>IF(ISBLANK(PM!H90),"",PM!H90)</f>
        <v>G2:</v>
      </c>
      <c r="T73" s="200" t="str">
        <f>IF(ISBLANK(PM!J90),"",PM!J90)</f>
        <v>T3</v>
      </c>
      <c r="U73" s="199" t="str">
        <f>IF(ISBLANK(PM!K90),"",PM!K90)</f>
        <v>+28-42 dagar</v>
      </c>
      <c r="V73" s="199"/>
      <c r="W73" s="97"/>
      <c r="X73" s="97"/>
      <c r="Y73" s="199" t="s">
        <v>1174</v>
      </c>
      <c r="Z73" s="142"/>
      <c r="AA73" s="142"/>
      <c r="AB73" s="97"/>
      <c r="AC73" s="300" t="str">
        <f t="shared" ref="AC73:AC76" si="3">IF(T73=1,"Se PM","")</f>
        <v/>
      </c>
      <c r="AD73" s="142"/>
      <c r="AE73" s="950" t="str">
        <f t="shared" ref="AE73:AE77" si="4">VLOOKUP($S73,$AK$116:$AN$134,2)</f>
        <v/>
      </c>
      <c r="AF73" s="950"/>
      <c r="AG73" s="946" t="str">
        <f t="shared" ref="AG73:AG77" si="5">VLOOKUP($S73,$AK$116:$AN$134,3)</f>
        <v/>
      </c>
      <c r="AH73" s="946"/>
      <c r="AI73" s="98" t="str">
        <f t="shared" ref="AI73:AI77" si="6">VLOOKUP($S73,$AK$116:$AN$134,4)</f>
        <v/>
      </c>
      <c r="AJ73" s="449"/>
    </row>
    <row r="74" spans="1:44" hidden="1" x14ac:dyDescent="0.2">
      <c r="A74" s="172" t="str">
        <f>IF(ISBLANK(PM!H83),"",PM!G83)</f>
        <v/>
      </c>
      <c r="B74" s="459"/>
      <c r="C74" s="250" t="str">
        <f>IF(ISBLANK(PM!J83),"",PM!J83)</f>
        <v/>
      </c>
      <c r="D74" s="141" t="str">
        <f>IF(ISBLANK(PM!K83),"",PM!K83)</f>
        <v>BBCH 75-85</v>
      </c>
      <c r="E74" s="108"/>
      <c r="F74" s="108"/>
      <c r="G74" s="108"/>
      <c r="H74" s="108"/>
      <c r="I74" s="108"/>
      <c r="J74" s="142"/>
      <c r="K74" s="142"/>
      <c r="L74" s="909" t="e">
        <f t="shared" si="0"/>
        <v>#N/A</v>
      </c>
      <c r="M74" s="909"/>
      <c r="N74" s="909"/>
      <c r="O74" s="946" t="e">
        <f t="shared" si="1"/>
        <v>#N/A</v>
      </c>
      <c r="P74" s="946"/>
      <c r="Q74" s="909" t="e">
        <f t="shared" si="2"/>
        <v>#N/A</v>
      </c>
      <c r="R74" s="947"/>
      <c r="S74" s="140" t="str">
        <f>IF(ISBLANK(PM!H91),"",PM!H91)</f>
        <v>G3:</v>
      </c>
      <c r="T74" s="200" t="str">
        <f>IF(ISBLANK(PM!J91),"",PM!J91)</f>
        <v/>
      </c>
      <c r="U74" s="199" t="str">
        <f>IF(ISBLANK(PM!K91),"",PM!K91)</f>
        <v>BBCH 75-85</v>
      </c>
      <c r="V74" s="199"/>
      <c r="W74" s="97"/>
      <c r="X74" s="97"/>
      <c r="Y74" s="199" t="s">
        <v>1174</v>
      </c>
      <c r="Z74" s="142"/>
      <c r="AA74" s="142"/>
      <c r="AB74" s="97"/>
      <c r="AC74" s="300" t="str">
        <f t="shared" si="3"/>
        <v/>
      </c>
      <c r="AD74" s="142"/>
      <c r="AE74" s="950" t="str">
        <f t="shared" si="4"/>
        <v/>
      </c>
      <c r="AF74" s="950"/>
      <c r="AG74" s="946" t="str">
        <f t="shared" si="5"/>
        <v/>
      </c>
      <c r="AH74" s="946"/>
      <c r="AI74" s="98" t="str">
        <f t="shared" si="6"/>
        <v/>
      </c>
      <c r="AJ74" s="449"/>
    </row>
    <row r="75" spans="1:44" hidden="1" x14ac:dyDescent="0.2">
      <c r="A75" s="172" t="str">
        <f>IF(ISBLANK(PM!H84),"",PM!G84)</f>
        <v/>
      </c>
      <c r="B75" s="459"/>
      <c r="C75" s="250" t="str">
        <f>IF(ISBLANK(PM!J84),"",PM!J84)</f>
        <v/>
      </c>
      <c r="D75" s="141" t="str">
        <f>IF(ISBLANK(PM!K84),"",PM!K84)</f>
        <v/>
      </c>
      <c r="E75" s="108"/>
      <c r="F75" s="108"/>
      <c r="G75" s="108"/>
      <c r="H75" s="108"/>
      <c r="I75" s="108"/>
      <c r="J75" s="142"/>
      <c r="K75" s="142"/>
      <c r="L75" s="909" t="e">
        <f t="shared" si="0"/>
        <v>#N/A</v>
      </c>
      <c r="M75" s="909"/>
      <c r="N75" s="909"/>
      <c r="O75" s="946" t="e">
        <f t="shared" si="1"/>
        <v>#N/A</v>
      </c>
      <c r="P75" s="946"/>
      <c r="Q75" s="909" t="e">
        <f t="shared" si="2"/>
        <v>#N/A</v>
      </c>
      <c r="R75" s="947"/>
      <c r="S75" s="140" t="str">
        <f>IF(ISBLANK(PM!H92),"",PM!H92)</f>
        <v/>
      </c>
      <c r="T75" s="200" t="str">
        <f>IF(ISBLANK(PM!J92),"",PM!J92)</f>
        <v/>
      </c>
      <c r="U75" s="199" t="str">
        <f>IF(ISBLANK(PM!K92),"",PM!K92)</f>
        <v/>
      </c>
      <c r="V75" s="199"/>
      <c r="W75" s="97"/>
      <c r="X75" s="97"/>
      <c r="Y75" s="199" t="s">
        <v>1174</v>
      </c>
      <c r="Z75" s="142"/>
      <c r="AA75" s="142"/>
      <c r="AB75" s="97"/>
      <c r="AC75" s="300" t="str">
        <f t="shared" si="3"/>
        <v/>
      </c>
      <c r="AD75" s="142"/>
      <c r="AE75" s="950" t="e">
        <f t="shared" si="4"/>
        <v>#N/A</v>
      </c>
      <c r="AF75" s="950"/>
      <c r="AG75" s="946" t="e">
        <f t="shared" si="5"/>
        <v>#N/A</v>
      </c>
      <c r="AH75" s="946"/>
      <c r="AI75" s="98" t="e">
        <f t="shared" si="6"/>
        <v>#N/A</v>
      </c>
      <c r="AJ75" s="449"/>
    </row>
    <row r="76" spans="1:44" hidden="1" x14ac:dyDescent="0.2">
      <c r="A76" s="172" t="str">
        <f>IF(ISBLANK(PM!H85),"",PM!G85)</f>
        <v/>
      </c>
      <c r="B76" s="459"/>
      <c r="C76" s="250" t="str">
        <f>IF(ISBLANK(PM!J85),"",PM!J85)</f>
        <v/>
      </c>
      <c r="D76" s="141" t="str">
        <f>IF(ISBLANK(PM!K85),"",PM!K85)</f>
        <v/>
      </c>
      <c r="E76" s="108"/>
      <c r="F76" s="108"/>
      <c r="G76" s="108"/>
      <c r="H76" s="108"/>
      <c r="I76" s="108"/>
      <c r="J76" s="142"/>
      <c r="K76" s="142"/>
      <c r="L76" s="909" t="e">
        <f t="shared" si="0"/>
        <v>#N/A</v>
      </c>
      <c r="M76" s="909"/>
      <c r="N76" s="909"/>
      <c r="O76" s="946" t="e">
        <f t="shared" si="1"/>
        <v>#N/A</v>
      </c>
      <c r="P76" s="946"/>
      <c r="Q76" s="909" t="e">
        <f t="shared" si="2"/>
        <v>#N/A</v>
      </c>
      <c r="R76" s="947"/>
      <c r="S76" s="140" t="str">
        <f>IF(ISBLANK(PM!H93),"",PM!H93)</f>
        <v/>
      </c>
      <c r="T76" s="200" t="str">
        <f>IF(ISBLANK(PM!J93),"",PM!J93)</f>
        <v/>
      </c>
      <c r="U76" s="199" t="str">
        <f>IF(ISBLANK(PM!K93),"",PM!K93)</f>
        <v/>
      </c>
      <c r="V76" s="199"/>
      <c r="W76" s="97"/>
      <c r="X76" s="97"/>
      <c r="Y76" s="199" t="s">
        <v>1174</v>
      </c>
      <c r="Z76" s="142"/>
      <c r="AA76" s="142"/>
      <c r="AB76" s="97"/>
      <c r="AC76" s="300" t="str">
        <f t="shared" si="3"/>
        <v/>
      </c>
      <c r="AD76" s="142"/>
      <c r="AE76" s="950" t="e">
        <f t="shared" si="4"/>
        <v>#N/A</v>
      </c>
      <c r="AF76" s="950"/>
      <c r="AG76" s="946" t="e">
        <f t="shared" si="5"/>
        <v>#N/A</v>
      </c>
      <c r="AH76" s="946"/>
      <c r="AI76" s="98" t="e">
        <f t="shared" si="6"/>
        <v>#N/A</v>
      </c>
      <c r="AJ76" s="449"/>
    </row>
    <row r="77" spans="1:44" hidden="1" x14ac:dyDescent="0.2">
      <c r="A77" s="172" t="str">
        <f>IF(ISBLANK(PM!H86),"",PM!G86)</f>
        <v/>
      </c>
      <c r="B77" s="459"/>
      <c r="C77" s="250" t="str">
        <f>IF(ISBLANK(PM!J86),"",PM!J86)</f>
        <v/>
      </c>
      <c r="D77" s="141" t="str">
        <f>IF(ISBLANK(PM!K86),"",PM!K86)</f>
        <v/>
      </c>
      <c r="E77" s="108"/>
      <c r="F77" s="108"/>
      <c r="G77" s="108"/>
      <c r="H77" s="108"/>
      <c r="I77" s="108"/>
      <c r="J77" s="142"/>
      <c r="K77" s="142"/>
      <c r="L77" s="909" t="e">
        <f t="shared" si="0"/>
        <v>#N/A</v>
      </c>
      <c r="M77" s="909"/>
      <c r="N77" s="909"/>
      <c r="O77" s="946" t="e">
        <f t="shared" si="1"/>
        <v>#N/A</v>
      </c>
      <c r="P77" s="946"/>
      <c r="Q77" s="909" t="e">
        <f t="shared" si="2"/>
        <v>#N/A</v>
      </c>
      <c r="R77" s="947"/>
      <c r="S77" s="140" t="str">
        <f>IF(ISBLANK(PM!H94),"",PM!H94)</f>
        <v>Graderingar av förekommande svampsjukdomar bl 1-4 ska göras av utföraren vid T1. Använd protokoll T1.</v>
      </c>
      <c r="T77" s="200" t="str">
        <f>IF(ISBLANK(PM!J94),"",PM!J94)</f>
        <v/>
      </c>
      <c r="U77" s="199" t="str">
        <f>IF(ISBLANK(PM!K94),"",PM!K94)</f>
        <v/>
      </c>
      <c r="V77" s="141"/>
      <c r="W77" s="97"/>
      <c r="X77" s="97"/>
      <c r="Y77" s="199" t="s">
        <v>1174</v>
      </c>
      <c r="Z77" s="142"/>
      <c r="AA77" s="142"/>
      <c r="AB77" s="97"/>
      <c r="AC77" s="142"/>
      <c r="AD77" s="142"/>
      <c r="AE77" s="950" t="e">
        <f t="shared" si="4"/>
        <v>#REF!</v>
      </c>
      <c r="AF77" s="950"/>
      <c r="AG77" s="946" t="e">
        <f t="shared" si="5"/>
        <v>#REF!</v>
      </c>
      <c r="AH77" s="946"/>
      <c r="AI77" s="98" t="e">
        <f t="shared" si="6"/>
        <v>#REF!</v>
      </c>
      <c r="AJ77" s="449"/>
    </row>
    <row r="78" spans="1:44" hidden="1" x14ac:dyDescent="0.2">
      <c r="A78" s="172"/>
      <c r="B78" s="288"/>
      <c r="C78" s="141"/>
      <c r="D78" s="108"/>
      <c r="E78" s="108"/>
      <c r="F78" s="108"/>
      <c r="G78" s="108"/>
      <c r="H78" s="108"/>
      <c r="I78" s="108"/>
      <c r="J78" s="142"/>
      <c r="K78" s="142"/>
      <c r="L78" s="909"/>
      <c r="M78" s="909"/>
      <c r="N78" s="909"/>
      <c r="O78" s="946"/>
      <c r="P78" s="946"/>
      <c r="Q78" s="909"/>
      <c r="R78" s="947"/>
      <c r="S78" s="140"/>
      <c r="T78" s="200"/>
      <c r="U78" s="199"/>
      <c r="V78" s="141"/>
      <c r="W78" s="97"/>
      <c r="X78" s="97"/>
      <c r="Y78" s="97"/>
      <c r="Z78" s="142"/>
      <c r="AA78" s="142"/>
      <c r="AB78" s="97"/>
      <c r="AC78" s="142"/>
      <c r="AD78" s="142"/>
      <c r="AE78" s="142"/>
      <c r="AF78" s="246"/>
      <c r="AG78" s="246"/>
      <c r="AH78" s="98"/>
      <c r="AI78" s="98"/>
      <c r="AJ78" s="341"/>
    </row>
    <row r="79" spans="1:44" hidden="1" x14ac:dyDescent="0.2">
      <c r="A79" s="172"/>
      <c r="B79" s="141" t="str">
        <f>IF(PM!$G92="J",T79,"")</f>
        <v/>
      </c>
      <c r="C79" s="141" t="str">
        <f>IF(PM!$G92="J",U79,"")</f>
        <v/>
      </c>
      <c r="D79" s="108"/>
      <c r="E79" s="108"/>
      <c r="F79" s="108"/>
      <c r="G79" s="108"/>
      <c r="H79" s="108"/>
      <c r="I79" s="108"/>
      <c r="J79" s="142"/>
      <c r="K79" s="142"/>
      <c r="L79" s="909"/>
      <c r="M79" s="909"/>
      <c r="N79" s="909"/>
      <c r="O79" s="909"/>
      <c r="P79" s="909"/>
      <c r="Q79" s="909"/>
      <c r="R79" s="947"/>
      <c r="S79" s="140"/>
      <c r="T79" s="200"/>
      <c r="U79" s="199"/>
      <c r="V79" s="141"/>
      <c r="W79" s="97"/>
      <c r="X79" s="97"/>
      <c r="Y79" s="97"/>
      <c r="Z79" s="142"/>
      <c r="AA79" s="142"/>
      <c r="AB79" s="97"/>
      <c r="AC79" s="142"/>
      <c r="AD79" s="142"/>
      <c r="AE79" s="142"/>
      <c r="AF79" s="246"/>
      <c r="AG79" s="246"/>
      <c r="AH79" s="98"/>
      <c r="AI79" s="98"/>
      <c r="AJ79" s="341"/>
    </row>
    <row r="80" spans="1:44" hidden="1" x14ac:dyDescent="0.2">
      <c r="A80" s="172"/>
      <c r="B80" s="204" t="str">
        <f>IF(PM!$G93="J",T80,"")</f>
        <v/>
      </c>
      <c r="C80" s="204" t="str">
        <f>IF(PM!$G93="J",U80,"")</f>
        <v/>
      </c>
      <c r="D80" s="108"/>
      <c r="E80" s="108"/>
      <c r="F80" s="108"/>
      <c r="G80" s="108"/>
      <c r="H80" s="108"/>
      <c r="I80" s="108"/>
      <c r="J80" s="198" t="e">
        <f>IF(#REF!="Ja",#REF!,"")</f>
        <v>#REF!</v>
      </c>
      <c r="K80" s="198"/>
      <c r="L80" s="909"/>
      <c r="M80" s="909"/>
      <c r="N80" s="909"/>
      <c r="O80" s="909"/>
      <c r="P80" s="909"/>
      <c r="Q80" s="909"/>
      <c r="R80" s="947"/>
      <c r="S80" s="140"/>
      <c r="T80" s="200"/>
      <c r="U80" s="199"/>
      <c r="V80" s="141"/>
      <c r="W80" s="97"/>
      <c r="X80" s="97"/>
      <c r="Y80" s="97"/>
      <c r="Z80" s="142"/>
      <c r="AA80" s="142"/>
      <c r="AB80" s="97"/>
      <c r="AC80" s="142"/>
      <c r="AD80" s="142"/>
      <c r="AE80" s="142"/>
      <c r="AF80" s="246"/>
      <c r="AG80" s="246"/>
      <c r="AH80" s="98"/>
      <c r="AI80" s="103"/>
      <c r="AJ80" s="341"/>
    </row>
    <row r="81" spans="1:44" x14ac:dyDescent="0.2">
      <c r="A81" s="313" t="s">
        <v>475</v>
      </c>
      <c r="B81" s="105"/>
      <c r="C81" s="105"/>
      <c r="D81" s="105"/>
      <c r="E81" s="105"/>
      <c r="F81" s="105"/>
      <c r="G81" s="314"/>
      <c r="H81" s="314"/>
      <c r="I81" s="314"/>
      <c r="J81" s="955">
        <f>IF(ISNUMBER(H119),H119,"")</f>
        <v>41796</v>
      </c>
      <c r="K81" s="955"/>
      <c r="L81" s="955"/>
      <c r="M81" s="952" t="str">
        <f>IF(ISTEXT(H120),H120,"")</f>
        <v>JMY</v>
      </c>
      <c r="N81" s="952"/>
      <c r="O81" s="105"/>
      <c r="P81" s="105"/>
      <c r="Q81" s="105"/>
      <c r="R81" s="105"/>
      <c r="S81" s="218" t="str">
        <f>PM!H101</f>
        <v>Skörd inkl stråstyrka.</v>
      </c>
      <c r="T81" s="105"/>
      <c r="U81" s="105"/>
      <c r="V81" s="105"/>
      <c r="W81" s="105"/>
      <c r="X81" s="105"/>
      <c r="Y81" s="105"/>
      <c r="Z81" s="105"/>
      <c r="AA81" s="105"/>
      <c r="AB81" s="496" t="str">
        <f>IF(S81="Försöket ska inte skördas","","Datum:")</f>
        <v>Datum:</v>
      </c>
      <c r="AC81" s="952" t="str">
        <f>IF(Skörd!E2&gt;0,Skörd!E2,"")</f>
        <v/>
      </c>
      <c r="AD81" s="952"/>
      <c r="AE81" s="952"/>
      <c r="AF81" s="105"/>
      <c r="AG81" s="496" t="str">
        <f>IF(S81="Försöket ska inte skördas","","Sign:")</f>
        <v>Sign:</v>
      </c>
      <c r="AH81" s="218" t="str">
        <f>IF(ISTEXT(Skörd!I2),Skörd!I2,"")</f>
        <v/>
      </c>
      <c r="AI81" s="105"/>
      <c r="AJ81" s="480"/>
    </row>
    <row r="82" spans="1:44" x14ac:dyDescent="0.2">
      <c r="A82" s="316" t="s">
        <v>934</v>
      </c>
      <c r="B82" s="102"/>
      <c r="C82" s="102"/>
      <c r="D82" s="102"/>
      <c r="E82" s="102"/>
      <c r="F82" s="102"/>
      <c r="G82" s="102"/>
      <c r="H82" s="102"/>
      <c r="I82" s="102"/>
      <c r="J82" s="102"/>
      <c r="K82" s="102"/>
      <c r="L82" s="102"/>
      <c r="M82" s="102"/>
      <c r="N82" s="102"/>
      <c r="O82" s="102"/>
      <c r="P82" s="102"/>
      <c r="Q82" s="102"/>
      <c r="R82" s="102"/>
      <c r="S82" s="204" t="s">
        <v>740</v>
      </c>
      <c r="T82" s="102"/>
      <c r="U82" s="102"/>
      <c r="V82" s="102"/>
      <c r="W82" s="102"/>
      <c r="X82" s="102"/>
      <c r="Y82" s="102"/>
      <c r="Z82" s="102"/>
      <c r="AA82" s="102"/>
      <c r="AB82" s="102"/>
      <c r="AC82" s="102"/>
      <c r="AD82" s="102"/>
      <c r="AE82" s="102"/>
      <c r="AF82" s="102"/>
      <c r="AG82" s="317" t="str">
        <f>PM!H108</f>
        <v>Torbjörn Ewaldz</v>
      </c>
      <c r="AH82" s="102"/>
      <c r="AI82" s="102"/>
      <c r="AJ82" s="478"/>
    </row>
    <row r="83" spans="1:44" s="5" customFormat="1" ht="12.75" customHeight="1" x14ac:dyDescent="0.2">
      <c r="A83" s="901" t="s">
        <v>20</v>
      </c>
      <c r="B83" s="902"/>
      <c r="C83" s="902"/>
      <c r="D83" s="902"/>
      <c r="E83" s="902"/>
      <c r="F83" s="902"/>
      <c r="G83" s="902"/>
      <c r="H83" s="902"/>
      <c r="I83" s="902"/>
      <c r="J83" s="902"/>
      <c r="K83" s="902"/>
      <c r="L83" s="902"/>
      <c r="M83" s="902"/>
      <c r="N83" s="902"/>
      <c r="O83" s="902"/>
      <c r="P83" s="902"/>
      <c r="Q83" s="902"/>
      <c r="R83" s="903"/>
      <c r="S83" s="217" t="s">
        <v>21</v>
      </c>
      <c r="T83" s="218"/>
      <c r="U83" s="218"/>
      <c r="V83" s="218"/>
      <c r="W83" s="218"/>
      <c r="X83" s="218"/>
      <c r="Y83" s="218"/>
      <c r="Z83" s="218"/>
      <c r="AA83" s="218"/>
      <c r="AB83" s="218"/>
      <c r="AC83" s="218"/>
      <c r="AD83" s="218"/>
      <c r="AE83" s="441"/>
      <c r="AF83" s="891" t="str">
        <f>IF(ISBLANK(H118),"",H118)</f>
        <v>046-713667</v>
      </c>
      <c r="AG83" s="891"/>
      <c r="AH83" s="891"/>
      <c r="AI83" s="891"/>
      <c r="AJ83" s="892"/>
      <c r="AK83" s="136"/>
      <c r="AL83" s="136"/>
      <c r="AM83" s="136"/>
      <c r="AN83" s="136"/>
      <c r="AO83" s="136"/>
      <c r="AP83" s="136"/>
      <c r="AQ83" s="136"/>
      <c r="AR83" s="136"/>
    </row>
    <row r="84" spans="1:44" ht="17.25" customHeight="1" x14ac:dyDescent="0.2">
      <c r="A84" s="958" t="str">
        <f>VLOOKUP(PM!M114,PM!AM107:AT109,3)</f>
        <v>Torbjorn.Ewaldz@hush.se 046-71 36 74</v>
      </c>
      <c r="B84" s="959"/>
      <c r="C84" s="959"/>
      <c r="D84" s="959"/>
      <c r="E84" s="959"/>
      <c r="F84" s="959"/>
      <c r="G84" s="959"/>
      <c r="H84" s="959"/>
      <c r="I84" s="959"/>
      <c r="J84" s="959"/>
      <c r="K84" s="959"/>
      <c r="L84" s="959"/>
      <c r="M84" s="959"/>
      <c r="N84" s="959"/>
      <c r="O84" s="959"/>
      <c r="P84" s="959"/>
      <c r="Q84" s="959"/>
      <c r="R84" s="960"/>
      <c r="S84" s="124" t="str">
        <f>IF(ISBLANK(H117),"",H117)</f>
        <v>Ulrika Dyrlund Martinsson</v>
      </c>
      <c r="T84" s="103"/>
      <c r="U84" s="103"/>
      <c r="V84" s="103"/>
      <c r="W84" s="103"/>
      <c r="X84" s="103"/>
      <c r="Y84" s="103"/>
      <c r="Z84" s="103"/>
      <c r="AA84" s="103"/>
      <c r="AB84" s="103"/>
      <c r="AC84" s="103"/>
      <c r="AD84" s="173"/>
      <c r="AE84" s="173"/>
      <c r="AF84" s="893"/>
      <c r="AG84" s="893"/>
      <c r="AH84" s="893"/>
      <c r="AI84" s="893"/>
      <c r="AJ84" s="894"/>
    </row>
    <row r="85" spans="1:44" x14ac:dyDescent="0.2">
      <c r="A85" s="330"/>
      <c r="B85" s="331"/>
      <c r="C85" s="331"/>
      <c r="D85" s="331"/>
      <c r="E85" s="331"/>
      <c r="F85" s="331"/>
      <c r="G85" s="331"/>
      <c r="H85" s="331"/>
      <c r="I85" s="331"/>
      <c r="J85" s="331"/>
      <c r="K85" s="331"/>
      <c r="L85" s="331"/>
      <c r="M85" s="331"/>
      <c r="N85" s="331"/>
      <c r="O85" s="331"/>
      <c r="P85" s="331"/>
      <c r="Q85" s="331"/>
      <c r="R85" s="331"/>
      <c r="S85" s="436" t="s">
        <v>956</v>
      </c>
      <c r="T85" s="331"/>
      <c r="U85" s="331"/>
      <c r="V85" s="331"/>
      <c r="W85" s="331"/>
      <c r="X85" s="331"/>
      <c r="Y85" s="331"/>
      <c r="Z85" s="331"/>
      <c r="AA85" s="331"/>
      <c r="AB85" s="331"/>
      <c r="AC85" s="331"/>
      <c r="AD85" s="331"/>
      <c r="AE85" s="331"/>
      <c r="AF85" s="9"/>
      <c r="AG85" s="9"/>
      <c r="AH85" s="9"/>
      <c r="AI85" s="9"/>
      <c r="AJ85" s="9"/>
    </row>
    <row r="86" spans="1:44" s="106" customFormat="1" ht="17.25" customHeight="1" thickBot="1" x14ac:dyDescent="0.25">
      <c r="A86" s="332" t="s">
        <v>4</v>
      </c>
      <c r="B86" s="333"/>
      <c r="C86" s="333"/>
      <c r="D86" s="333"/>
      <c r="E86" s="333"/>
      <c r="F86" s="333"/>
      <c r="G86" s="333"/>
      <c r="H86" s="961" t="str">
        <f>PM!G6</f>
        <v>HU-1433</v>
      </c>
      <c r="I86" s="961"/>
      <c r="J86" s="961"/>
      <c r="K86" s="961"/>
      <c r="L86" s="961"/>
      <c r="M86" s="961"/>
      <c r="N86" s="961"/>
      <c r="O86" s="961"/>
      <c r="P86" s="961"/>
      <c r="Q86" s="961"/>
      <c r="R86" s="334"/>
      <c r="S86" s="442" t="s">
        <v>1037</v>
      </c>
      <c r="T86" s="443"/>
      <c r="U86" s="444"/>
      <c r="V86" s="443"/>
      <c r="W86" s="443"/>
      <c r="X86" s="443" t="s">
        <v>1038</v>
      </c>
      <c r="Y86" s="443"/>
      <c r="Z86" s="443"/>
      <c r="AA86" s="443"/>
      <c r="AB86" s="443" t="s">
        <v>1039</v>
      </c>
      <c r="AC86" s="443"/>
      <c r="AD86" s="443"/>
      <c r="AE86" s="445"/>
      <c r="AF86" s="443" t="s">
        <v>1036</v>
      </c>
      <c r="AG86" s="445"/>
      <c r="AH86" s="445"/>
      <c r="AI86" s="443"/>
      <c r="AJ86" s="334"/>
      <c r="AK86" s="280"/>
      <c r="AL86" s="280"/>
      <c r="AM86" s="280"/>
      <c r="AN86" s="280"/>
      <c r="AO86" s="280"/>
      <c r="AP86" s="280"/>
      <c r="AQ86" s="280"/>
      <c r="AR86" s="280"/>
    </row>
    <row r="87" spans="1:44" s="106" customFormat="1" ht="17.25" customHeight="1" x14ac:dyDescent="0.2">
      <c r="A87" s="332" t="s">
        <v>34</v>
      </c>
      <c r="B87" s="333"/>
      <c r="C87" s="333"/>
      <c r="D87" s="333"/>
      <c r="E87" s="333"/>
      <c r="F87" s="333"/>
      <c r="G87" s="333"/>
      <c r="H87" s="962" t="str">
        <f>PM!G7</f>
        <v>Bekämpning av bladfläcksjuka i korn</v>
      </c>
      <c r="I87" s="962"/>
      <c r="J87" s="962"/>
      <c r="K87" s="962"/>
      <c r="L87" s="962"/>
      <c r="M87" s="962"/>
      <c r="N87" s="962"/>
      <c r="O87" s="962"/>
      <c r="P87" s="962"/>
      <c r="Q87" s="962"/>
      <c r="R87" s="334"/>
      <c r="S87" s="429" t="s">
        <v>42</v>
      </c>
      <c r="T87" s="430"/>
      <c r="U87" s="430"/>
      <c r="V87" s="430"/>
      <c r="W87" s="430"/>
      <c r="X87" s="870"/>
      <c r="Y87" s="871"/>
      <c r="Z87" s="871"/>
      <c r="AA87" s="871"/>
      <c r="AB87" s="871"/>
      <c r="AC87" s="871"/>
      <c r="AD87" s="871"/>
      <c r="AE87" s="871"/>
      <c r="AF87" s="871"/>
      <c r="AG87" s="871"/>
      <c r="AH87" s="871"/>
      <c r="AI87" s="871"/>
      <c r="AJ87" s="872"/>
      <c r="AK87" s="136" t="s">
        <v>449</v>
      </c>
      <c r="AL87" s="280" t="s">
        <v>133</v>
      </c>
      <c r="AM87" s="280" t="s">
        <v>281</v>
      </c>
      <c r="AN87" s="280"/>
      <c r="AO87" s="381" t="s">
        <v>376</v>
      </c>
      <c r="AP87" s="381" t="s">
        <v>317</v>
      </c>
      <c r="AQ87" s="381" t="s">
        <v>1036</v>
      </c>
      <c r="AR87" s="280"/>
    </row>
    <row r="88" spans="1:44" s="106" customFormat="1" ht="17.25" customHeight="1" x14ac:dyDescent="0.2">
      <c r="A88" s="336" t="s">
        <v>179</v>
      </c>
      <c r="B88" s="333"/>
      <c r="C88" s="333"/>
      <c r="D88" s="333"/>
      <c r="E88" s="333"/>
      <c r="F88" s="333"/>
      <c r="G88" s="333"/>
      <c r="H88" s="962" t="str">
        <f>PM!G8</f>
        <v>Control of D. teres in barley – NORBARAG</v>
      </c>
      <c r="I88" s="962"/>
      <c r="J88" s="962"/>
      <c r="K88" s="962"/>
      <c r="L88" s="962"/>
      <c r="M88" s="962"/>
      <c r="N88" s="962"/>
      <c r="O88" s="962"/>
      <c r="P88" s="962"/>
      <c r="Q88" s="962"/>
      <c r="R88" s="334"/>
      <c r="S88" s="425" t="s">
        <v>43</v>
      </c>
      <c r="T88" s="426"/>
      <c r="U88" s="426"/>
      <c r="V88" s="426"/>
      <c r="W88" s="426"/>
      <c r="X88" s="887"/>
      <c r="Y88" s="873"/>
      <c r="Z88" s="873"/>
      <c r="AA88" s="873"/>
      <c r="AB88" s="873"/>
      <c r="AC88" s="873"/>
      <c r="AD88" s="873"/>
      <c r="AE88" s="873"/>
      <c r="AF88" s="873"/>
      <c r="AG88" s="874"/>
      <c r="AH88" s="874"/>
      <c r="AI88" s="874"/>
      <c r="AJ88" s="875"/>
      <c r="AK88" s="136" t="s">
        <v>889</v>
      </c>
      <c r="AL88" s="280" t="s">
        <v>379</v>
      </c>
      <c r="AM88" s="280" t="s">
        <v>293</v>
      </c>
      <c r="AN88" s="280"/>
      <c r="AO88" s="416"/>
      <c r="AP88" s="416"/>
      <c r="AQ88" s="416"/>
      <c r="AR88" s="280"/>
    </row>
    <row r="89" spans="1:44" s="106" customFormat="1" ht="17.25" customHeight="1" thickBot="1" x14ac:dyDescent="0.25">
      <c r="A89" s="332" t="s">
        <v>16</v>
      </c>
      <c r="B89" s="333"/>
      <c r="C89" s="333"/>
      <c r="D89" s="333"/>
      <c r="E89" s="333"/>
      <c r="F89" s="333"/>
      <c r="G89" s="333"/>
      <c r="H89" s="961" t="str">
        <f>VLOOKUP(H$91,PM!$Q$14:$AB$16,12,0)</f>
        <v>Vårkorn</v>
      </c>
      <c r="I89" s="961"/>
      <c r="J89" s="961"/>
      <c r="K89" s="961"/>
      <c r="L89" s="961"/>
      <c r="M89" s="961"/>
      <c r="N89" s="961"/>
      <c r="O89" s="961"/>
      <c r="P89" s="961"/>
      <c r="Q89" s="961"/>
      <c r="R89" s="334"/>
      <c r="S89" s="427" t="s">
        <v>44</v>
      </c>
      <c r="T89" s="428"/>
      <c r="U89" s="428"/>
      <c r="V89" s="428"/>
      <c r="W89" s="428"/>
      <c r="X89" s="867"/>
      <c r="Y89" s="868"/>
      <c r="Z89" s="868"/>
      <c r="AA89" s="868"/>
      <c r="AB89" s="868"/>
      <c r="AC89" s="868"/>
      <c r="AD89" s="868"/>
      <c r="AE89" s="868"/>
      <c r="AF89" s="868"/>
      <c r="AG89" s="868"/>
      <c r="AH89" s="868"/>
      <c r="AI89" s="868"/>
      <c r="AJ89" s="869"/>
      <c r="AK89" s="136" t="s">
        <v>611</v>
      </c>
      <c r="AL89" s="280" t="s">
        <v>380</v>
      </c>
      <c r="AM89" s="280" t="s">
        <v>300</v>
      </c>
      <c r="AN89" s="280"/>
      <c r="AO89" s="416"/>
      <c r="AP89" s="416"/>
      <c r="AQ89" s="416"/>
      <c r="AR89" s="280"/>
    </row>
    <row r="90" spans="1:44" s="106" customFormat="1" ht="17.25" customHeight="1" x14ac:dyDescent="0.2">
      <c r="A90" s="332" t="s">
        <v>134</v>
      </c>
      <c r="B90" s="333"/>
      <c r="C90" s="333"/>
      <c r="D90" s="333"/>
      <c r="E90" s="333"/>
      <c r="F90" s="333"/>
      <c r="G90" s="333"/>
      <c r="H90" s="961" t="str">
        <f>VLOOKUP(H$91,PM!$Q$14:$AB$16,5,0)</f>
        <v>HS-Malmöhus</v>
      </c>
      <c r="I90" s="961"/>
      <c r="J90" s="961"/>
      <c r="K90" s="961"/>
      <c r="L90" s="961"/>
      <c r="M90" s="961"/>
      <c r="N90" s="961"/>
      <c r="O90" s="961"/>
      <c r="P90" s="961"/>
      <c r="Q90" s="961"/>
      <c r="R90" s="334"/>
      <c r="S90" s="429" t="s">
        <v>42</v>
      </c>
      <c r="T90" s="430"/>
      <c r="U90" s="430"/>
      <c r="V90" s="430"/>
      <c r="W90" s="430"/>
      <c r="X90" s="870"/>
      <c r="Y90" s="871"/>
      <c r="Z90" s="871"/>
      <c r="AA90" s="871"/>
      <c r="AB90" s="871"/>
      <c r="AC90" s="871"/>
      <c r="AD90" s="871"/>
      <c r="AE90" s="871"/>
      <c r="AF90" s="871"/>
      <c r="AG90" s="871"/>
      <c r="AH90" s="871"/>
      <c r="AI90" s="871"/>
      <c r="AJ90" s="872"/>
      <c r="AK90" s="136" t="s">
        <v>251</v>
      </c>
      <c r="AL90" s="280" t="s">
        <v>381</v>
      </c>
      <c r="AM90" s="280" t="s">
        <v>282</v>
      </c>
      <c r="AN90" s="280"/>
      <c r="AO90" s="417" t="s">
        <v>318</v>
      </c>
      <c r="AP90" s="417" t="s">
        <v>1218</v>
      </c>
      <c r="AQ90" s="417" t="s">
        <v>320</v>
      </c>
      <c r="AR90" s="280"/>
    </row>
    <row r="91" spans="1:44" s="106" customFormat="1" ht="17.25" customHeight="1" x14ac:dyDescent="0.2">
      <c r="A91" s="432" t="s">
        <v>32</v>
      </c>
      <c r="B91" s="430"/>
      <c r="C91" s="430"/>
      <c r="D91" s="430"/>
      <c r="E91" s="430"/>
      <c r="F91" s="430"/>
      <c r="G91" s="433"/>
      <c r="H91" s="895" t="s">
        <v>1386</v>
      </c>
      <c r="I91" s="895"/>
      <c r="J91" s="895"/>
      <c r="K91" s="895"/>
      <c r="L91" s="895"/>
      <c r="M91" s="895"/>
      <c r="N91" s="895"/>
      <c r="O91" s="895"/>
      <c r="P91" s="895"/>
      <c r="Q91" s="895"/>
      <c r="R91" s="334"/>
      <c r="S91" s="425" t="s">
        <v>43</v>
      </c>
      <c r="T91" s="426"/>
      <c r="U91" s="426"/>
      <c r="V91" s="426"/>
      <c r="W91" s="426"/>
      <c r="X91" s="887"/>
      <c r="Y91" s="873"/>
      <c r="Z91" s="873"/>
      <c r="AA91" s="873"/>
      <c r="AB91" s="873"/>
      <c r="AC91" s="873"/>
      <c r="AD91" s="873"/>
      <c r="AE91" s="873"/>
      <c r="AF91" s="873"/>
      <c r="AG91" s="874"/>
      <c r="AH91" s="874"/>
      <c r="AI91" s="874"/>
      <c r="AJ91" s="875"/>
      <c r="AK91" s="136" t="s">
        <v>247</v>
      </c>
      <c r="AL91" s="280" t="s">
        <v>382</v>
      </c>
      <c r="AM91" s="280" t="s">
        <v>288</v>
      </c>
      <c r="AN91" s="280"/>
      <c r="AO91" s="417" t="s">
        <v>321</v>
      </c>
      <c r="AP91" s="417" t="s">
        <v>319</v>
      </c>
      <c r="AQ91" s="417" t="s">
        <v>1219</v>
      </c>
      <c r="AR91" s="280"/>
    </row>
    <row r="92" spans="1:44" s="106" customFormat="1" ht="17.25" customHeight="1" thickBot="1" x14ac:dyDescent="0.25">
      <c r="A92" s="432" t="s">
        <v>878</v>
      </c>
      <c r="B92" s="430"/>
      <c r="C92" s="430"/>
      <c r="D92" s="430"/>
      <c r="E92" s="430"/>
      <c r="F92" s="430"/>
      <c r="G92" s="433"/>
      <c r="H92" s="896" t="s">
        <v>1412</v>
      </c>
      <c r="I92" s="897"/>
      <c r="J92" s="897"/>
      <c r="K92" s="897"/>
      <c r="L92" s="897"/>
      <c r="M92" s="897"/>
      <c r="N92" s="897"/>
      <c r="O92" s="897"/>
      <c r="P92" s="897"/>
      <c r="Q92" s="898"/>
      <c r="R92" s="334"/>
      <c r="S92" s="431" t="s">
        <v>44</v>
      </c>
      <c r="T92" s="315"/>
      <c r="U92" s="315"/>
      <c r="V92" s="315"/>
      <c r="W92" s="315"/>
      <c r="X92" s="867"/>
      <c r="Y92" s="868"/>
      <c r="Z92" s="868"/>
      <c r="AA92" s="868"/>
      <c r="AB92" s="868"/>
      <c r="AC92" s="868"/>
      <c r="AD92" s="868"/>
      <c r="AE92" s="868"/>
      <c r="AF92" s="868"/>
      <c r="AG92" s="868"/>
      <c r="AH92" s="868"/>
      <c r="AI92" s="868"/>
      <c r="AJ92" s="869"/>
      <c r="AK92" s="136" t="s">
        <v>45</v>
      </c>
      <c r="AL92" s="280" t="s">
        <v>383</v>
      </c>
      <c r="AM92" s="280" t="s">
        <v>283</v>
      </c>
      <c r="AN92" s="280"/>
      <c r="AO92" s="417" t="s">
        <v>1220</v>
      </c>
      <c r="AP92" s="417" t="s">
        <v>1221</v>
      </c>
      <c r="AQ92" s="417" t="s">
        <v>1222</v>
      </c>
      <c r="AR92" s="280"/>
    </row>
    <row r="93" spans="1:44" s="106" customFormat="1" ht="17.25" customHeight="1" x14ac:dyDescent="0.2">
      <c r="A93" s="432" t="s">
        <v>877</v>
      </c>
      <c r="B93" s="430"/>
      <c r="C93" s="430"/>
      <c r="D93" s="430"/>
      <c r="E93" s="430"/>
      <c r="F93" s="430"/>
      <c r="G93" s="433"/>
      <c r="H93" s="864">
        <v>658</v>
      </c>
      <c r="I93" s="865"/>
      <c r="J93" s="865"/>
      <c r="K93" s="865"/>
      <c r="L93" s="865"/>
      <c r="M93" s="865"/>
      <c r="N93" s="865"/>
      <c r="O93" s="865"/>
      <c r="P93" s="865"/>
      <c r="Q93" s="866"/>
      <c r="R93" s="334"/>
      <c r="S93" s="423" t="s">
        <v>42</v>
      </c>
      <c r="T93" s="424"/>
      <c r="U93" s="424"/>
      <c r="V93" s="424"/>
      <c r="W93" s="424"/>
      <c r="X93" s="870"/>
      <c r="Y93" s="871"/>
      <c r="Z93" s="871"/>
      <c r="AA93" s="871"/>
      <c r="AB93" s="871"/>
      <c r="AC93" s="871"/>
      <c r="AD93" s="871"/>
      <c r="AE93" s="871"/>
      <c r="AF93" s="871"/>
      <c r="AG93" s="871"/>
      <c r="AH93" s="871"/>
      <c r="AI93" s="871"/>
      <c r="AJ93" s="872"/>
      <c r="AK93" s="136" t="s">
        <v>895</v>
      </c>
      <c r="AL93" s="280" t="s">
        <v>384</v>
      </c>
      <c r="AM93" s="280" t="s">
        <v>294</v>
      </c>
      <c r="AN93" s="280"/>
      <c r="AO93" s="417" t="s">
        <v>322</v>
      </c>
      <c r="AP93" s="417" t="s">
        <v>323</v>
      </c>
      <c r="AQ93" s="417" t="s">
        <v>325</v>
      </c>
      <c r="AR93" s="280"/>
    </row>
    <row r="94" spans="1:44" s="106" customFormat="1" ht="17.25" customHeight="1" thickBot="1" x14ac:dyDescent="0.25">
      <c r="A94" s="337" t="s">
        <v>880</v>
      </c>
      <c r="B94" s="305"/>
      <c r="C94" s="305"/>
      <c r="D94" s="305"/>
      <c r="E94" s="305"/>
      <c r="F94" s="305"/>
      <c r="G94" s="306"/>
      <c r="H94" s="900" t="str">
        <f>CONCATENATE(H92,"-",H93,"-",PM!AL19)</f>
        <v>M-658-2014</v>
      </c>
      <c r="I94" s="900"/>
      <c r="J94" s="900"/>
      <c r="K94" s="900"/>
      <c r="L94" s="900"/>
      <c r="M94" s="900"/>
      <c r="N94" s="900"/>
      <c r="O94" s="900"/>
      <c r="P94" s="900"/>
      <c r="Q94" s="900"/>
      <c r="R94" s="334"/>
      <c r="S94" s="425" t="s">
        <v>43</v>
      </c>
      <c r="T94" s="426"/>
      <c r="U94" s="426"/>
      <c r="V94" s="426"/>
      <c r="W94" s="426"/>
      <c r="X94" s="887"/>
      <c r="Y94" s="873"/>
      <c r="Z94" s="873"/>
      <c r="AA94" s="873"/>
      <c r="AB94" s="873"/>
      <c r="AC94" s="873"/>
      <c r="AD94" s="873"/>
      <c r="AE94" s="873"/>
      <c r="AF94" s="873"/>
      <c r="AG94" s="874"/>
      <c r="AH94" s="874"/>
      <c r="AI94" s="874"/>
      <c r="AJ94" s="875"/>
      <c r="AK94" s="136" t="s">
        <v>446</v>
      </c>
      <c r="AL94" s="280" t="s">
        <v>385</v>
      </c>
      <c r="AM94" s="280" t="s">
        <v>295</v>
      </c>
      <c r="AN94" s="280"/>
      <c r="AO94" s="417" t="s">
        <v>327</v>
      </c>
      <c r="AP94" s="417" t="s">
        <v>328</v>
      </c>
      <c r="AQ94" s="417" t="s">
        <v>329</v>
      </c>
      <c r="AR94" s="280"/>
    </row>
    <row r="95" spans="1:44" s="106" customFormat="1" ht="17.25" customHeight="1" thickBot="1" x14ac:dyDescent="0.25">
      <c r="A95" s="432" t="s">
        <v>5</v>
      </c>
      <c r="B95" s="430"/>
      <c r="C95" s="430"/>
      <c r="D95" s="430"/>
      <c r="E95" s="430"/>
      <c r="F95" s="430"/>
      <c r="G95" s="433"/>
      <c r="H95" s="906" t="s">
        <v>1463</v>
      </c>
      <c r="I95" s="907"/>
      <c r="J95" s="907"/>
      <c r="K95" s="907"/>
      <c r="L95" s="907"/>
      <c r="M95" s="907"/>
      <c r="N95" s="907"/>
      <c r="O95" s="907"/>
      <c r="P95" s="907"/>
      <c r="Q95" s="908"/>
      <c r="R95" s="334"/>
      <c r="S95" s="427" t="s">
        <v>44</v>
      </c>
      <c r="T95" s="428"/>
      <c r="U95" s="428"/>
      <c r="V95" s="428"/>
      <c r="W95" s="428"/>
      <c r="X95" s="867"/>
      <c r="Y95" s="868"/>
      <c r="Z95" s="868"/>
      <c r="AA95" s="868"/>
      <c r="AB95" s="868"/>
      <c r="AC95" s="868"/>
      <c r="AD95" s="868"/>
      <c r="AE95" s="868"/>
      <c r="AF95" s="868"/>
      <c r="AG95" s="868"/>
      <c r="AH95" s="868"/>
      <c r="AI95" s="868"/>
      <c r="AJ95" s="869"/>
      <c r="AK95" s="136" t="s">
        <v>255</v>
      </c>
      <c r="AL95" s="280" t="s">
        <v>308</v>
      </c>
      <c r="AM95" s="280" t="s">
        <v>285</v>
      </c>
      <c r="AN95" s="280"/>
      <c r="AO95" s="417" t="s">
        <v>330</v>
      </c>
      <c r="AP95" s="417" t="s">
        <v>1223</v>
      </c>
      <c r="AQ95" s="417" t="s">
        <v>1224</v>
      </c>
      <c r="AR95" s="280"/>
    </row>
    <row r="96" spans="1:44" s="106" customFormat="1" ht="17.25" customHeight="1" x14ac:dyDescent="0.2">
      <c r="A96" s="432" t="s">
        <v>36</v>
      </c>
      <c r="B96" s="430"/>
      <c r="C96" s="430"/>
      <c r="D96" s="430"/>
      <c r="E96" s="430"/>
      <c r="F96" s="430"/>
      <c r="G96" s="433"/>
      <c r="H96" s="864" t="s">
        <v>1464</v>
      </c>
      <c r="I96" s="865"/>
      <c r="J96" s="865"/>
      <c r="K96" s="865"/>
      <c r="L96" s="865"/>
      <c r="M96" s="865"/>
      <c r="N96" s="865"/>
      <c r="O96" s="865"/>
      <c r="P96" s="865"/>
      <c r="Q96" s="866"/>
      <c r="R96" s="334"/>
      <c r="S96" s="429" t="s">
        <v>42</v>
      </c>
      <c r="T96" s="430"/>
      <c r="U96" s="430"/>
      <c r="V96" s="430"/>
      <c r="W96" s="430"/>
      <c r="X96" s="870"/>
      <c r="Y96" s="871"/>
      <c r="Z96" s="871"/>
      <c r="AA96" s="871"/>
      <c r="AB96" s="871"/>
      <c r="AC96" s="871"/>
      <c r="AD96" s="871"/>
      <c r="AE96" s="871"/>
      <c r="AF96" s="871"/>
      <c r="AG96" s="871"/>
      <c r="AH96" s="871"/>
      <c r="AI96" s="871"/>
      <c r="AJ96" s="872"/>
      <c r="AK96" s="136" t="s">
        <v>610</v>
      </c>
      <c r="AL96" s="280" t="s">
        <v>386</v>
      </c>
      <c r="AM96" s="280" t="s">
        <v>284</v>
      </c>
      <c r="AN96" s="280"/>
      <c r="AO96" s="417" t="s">
        <v>332</v>
      </c>
      <c r="AP96" s="417" t="s">
        <v>1225</v>
      </c>
      <c r="AQ96" s="417" t="s">
        <v>1226</v>
      </c>
      <c r="AR96" s="280"/>
    </row>
    <row r="97" spans="1:44" s="106" customFormat="1" ht="17.25" customHeight="1" x14ac:dyDescent="0.2">
      <c r="A97" s="432" t="s">
        <v>35</v>
      </c>
      <c r="B97" s="430"/>
      <c r="C97" s="430"/>
      <c r="D97" s="430"/>
      <c r="E97" s="430"/>
      <c r="F97" s="430"/>
      <c r="G97" s="433"/>
      <c r="H97" s="864" t="s">
        <v>1465</v>
      </c>
      <c r="I97" s="865"/>
      <c r="J97" s="865"/>
      <c r="K97" s="865"/>
      <c r="L97" s="865"/>
      <c r="M97" s="865"/>
      <c r="N97" s="865"/>
      <c r="O97" s="865"/>
      <c r="P97" s="865"/>
      <c r="Q97" s="866"/>
      <c r="R97" s="334"/>
      <c r="S97" s="425" t="s">
        <v>43</v>
      </c>
      <c r="T97" s="426"/>
      <c r="U97" s="426"/>
      <c r="V97" s="426"/>
      <c r="W97" s="426"/>
      <c r="X97" s="887"/>
      <c r="Y97" s="873"/>
      <c r="Z97" s="873"/>
      <c r="AA97" s="873"/>
      <c r="AB97" s="873"/>
      <c r="AC97" s="873"/>
      <c r="AD97" s="873"/>
      <c r="AE97" s="873"/>
      <c r="AF97" s="873"/>
      <c r="AG97" s="874"/>
      <c r="AH97" s="874"/>
      <c r="AI97" s="874"/>
      <c r="AJ97" s="875"/>
      <c r="AK97" s="136" t="s">
        <v>448</v>
      </c>
      <c r="AL97" s="280" t="s">
        <v>387</v>
      </c>
      <c r="AM97" s="280" t="s">
        <v>297</v>
      </c>
      <c r="AN97" s="280"/>
      <c r="AO97" s="417" t="s">
        <v>334</v>
      </c>
      <c r="AP97" s="417" t="s">
        <v>336</v>
      </c>
      <c r="AQ97" s="417" t="s">
        <v>1227</v>
      </c>
      <c r="AR97" s="280"/>
    </row>
    <row r="98" spans="1:44" s="106" customFormat="1" ht="17.25" customHeight="1" thickBot="1" x14ac:dyDescent="0.25">
      <c r="A98" s="432" t="s">
        <v>37</v>
      </c>
      <c r="B98" s="430"/>
      <c r="C98" s="430"/>
      <c r="D98" s="430"/>
      <c r="E98" s="430"/>
      <c r="F98" s="430"/>
      <c r="G98" s="433"/>
      <c r="H98" s="864" t="s">
        <v>1466</v>
      </c>
      <c r="I98" s="865"/>
      <c r="J98" s="865"/>
      <c r="K98" s="865"/>
      <c r="L98" s="865"/>
      <c r="M98" s="865"/>
      <c r="N98" s="865"/>
      <c r="O98" s="865"/>
      <c r="P98" s="865"/>
      <c r="Q98" s="866"/>
      <c r="R98" s="334"/>
      <c r="S98" s="431" t="s">
        <v>44</v>
      </c>
      <c r="T98" s="315"/>
      <c r="U98" s="315"/>
      <c r="V98" s="315"/>
      <c r="W98" s="315"/>
      <c r="X98" s="867"/>
      <c r="Y98" s="868"/>
      <c r="Z98" s="868"/>
      <c r="AA98" s="868"/>
      <c r="AB98" s="868"/>
      <c r="AC98" s="868"/>
      <c r="AD98" s="868"/>
      <c r="AE98" s="868"/>
      <c r="AF98" s="868"/>
      <c r="AG98" s="868"/>
      <c r="AH98" s="868"/>
      <c r="AI98" s="868"/>
      <c r="AJ98" s="869"/>
      <c r="AK98" s="136" t="s">
        <v>447</v>
      </c>
      <c r="AL98" s="280" t="s">
        <v>388</v>
      </c>
      <c r="AM98" s="280" t="s">
        <v>296</v>
      </c>
      <c r="AN98" s="280"/>
      <c r="AO98" s="417" t="s">
        <v>335</v>
      </c>
      <c r="AP98" s="417" t="s">
        <v>1228</v>
      </c>
      <c r="AQ98" s="417" t="s">
        <v>1229</v>
      </c>
      <c r="AR98" s="280"/>
    </row>
    <row r="99" spans="1:44" s="106" customFormat="1" ht="17.25" customHeight="1" x14ac:dyDescent="0.2">
      <c r="A99" s="432" t="s">
        <v>881</v>
      </c>
      <c r="B99" s="430"/>
      <c r="C99" s="430"/>
      <c r="D99" s="430"/>
      <c r="E99" s="430"/>
      <c r="F99" s="430"/>
      <c r="G99" s="433"/>
      <c r="H99" s="864" t="s">
        <v>1467</v>
      </c>
      <c r="I99" s="865"/>
      <c r="J99" s="865"/>
      <c r="K99" s="865"/>
      <c r="L99" s="865"/>
      <c r="M99" s="865"/>
      <c r="N99" s="865"/>
      <c r="O99" s="865"/>
      <c r="P99" s="865"/>
      <c r="Q99" s="866"/>
      <c r="R99" s="334"/>
      <c r="S99" s="423" t="s">
        <v>42</v>
      </c>
      <c r="T99" s="424"/>
      <c r="U99" s="424"/>
      <c r="V99" s="424"/>
      <c r="W99" s="424"/>
      <c r="X99" s="870"/>
      <c r="Y99" s="871"/>
      <c r="Z99" s="871"/>
      <c r="AA99" s="871"/>
      <c r="AB99" s="871"/>
      <c r="AC99" s="871"/>
      <c r="AD99" s="871"/>
      <c r="AE99" s="871"/>
      <c r="AF99" s="871"/>
      <c r="AG99" s="871"/>
      <c r="AH99" s="871"/>
      <c r="AI99" s="871"/>
      <c r="AJ99" s="872"/>
      <c r="AK99" s="136" t="s">
        <v>900</v>
      </c>
      <c r="AL99" s="280" t="s">
        <v>389</v>
      </c>
      <c r="AM99" s="280" t="s">
        <v>286</v>
      </c>
      <c r="AN99" s="280"/>
      <c r="AO99" s="417" t="s">
        <v>338</v>
      </c>
      <c r="AP99" s="417" t="s">
        <v>1230</v>
      </c>
      <c r="AQ99" s="417" t="s">
        <v>1231</v>
      </c>
      <c r="AR99" s="280"/>
    </row>
    <row r="100" spans="1:44" s="106" customFormat="1" ht="17.25" customHeight="1" x14ac:dyDescent="0.2">
      <c r="A100" s="432" t="s">
        <v>476</v>
      </c>
      <c r="B100" s="430"/>
      <c r="C100" s="430"/>
      <c r="D100" s="430"/>
      <c r="E100" s="430"/>
      <c r="F100" s="430"/>
      <c r="G100" s="433"/>
      <c r="H100" s="864" t="s">
        <v>1468</v>
      </c>
      <c r="I100" s="865"/>
      <c r="J100" s="865"/>
      <c r="K100" s="865"/>
      <c r="L100" s="865"/>
      <c r="M100" s="865"/>
      <c r="N100" s="865"/>
      <c r="O100" s="865"/>
      <c r="P100" s="865"/>
      <c r="Q100" s="866"/>
      <c r="R100" s="334"/>
      <c r="S100" s="425" t="s">
        <v>43</v>
      </c>
      <c r="T100" s="426"/>
      <c r="U100" s="426"/>
      <c r="V100" s="426"/>
      <c r="W100" s="426"/>
      <c r="X100" s="887"/>
      <c r="Y100" s="873"/>
      <c r="Z100" s="873"/>
      <c r="AA100" s="873"/>
      <c r="AB100" s="873"/>
      <c r="AC100" s="873"/>
      <c r="AD100" s="873"/>
      <c r="AE100" s="873"/>
      <c r="AF100" s="873"/>
      <c r="AG100" s="874"/>
      <c r="AH100" s="874"/>
      <c r="AI100" s="874"/>
      <c r="AJ100" s="875"/>
      <c r="AK100" s="136" t="s">
        <v>202</v>
      </c>
      <c r="AL100" s="280" t="s">
        <v>390</v>
      </c>
      <c r="AM100" s="280" t="s">
        <v>287</v>
      </c>
      <c r="AN100" s="280"/>
      <c r="AO100" s="417" t="s">
        <v>339</v>
      </c>
      <c r="AP100" s="417" t="s">
        <v>1232</v>
      </c>
      <c r="AQ100" s="417" t="s">
        <v>1233</v>
      </c>
      <c r="AR100" s="280"/>
    </row>
    <row r="101" spans="1:44" s="106" customFormat="1" ht="17.25" customHeight="1" thickBot="1" x14ac:dyDescent="0.25">
      <c r="A101" s="432" t="s">
        <v>477</v>
      </c>
      <c r="B101" s="430"/>
      <c r="C101" s="430"/>
      <c r="D101" s="430"/>
      <c r="E101" s="430"/>
      <c r="F101" s="430"/>
      <c r="G101" s="433"/>
      <c r="H101" s="864" t="s">
        <v>1469</v>
      </c>
      <c r="I101" s="865"/>
      <c r="J101" s="865"/>
      <c r="K101" s="865"/>
      <c r="L101" s="865"/>
      <c r="M101" s="865"/>
      <c r="N101" s="865"/>
      <c r="O101" s="865"/>
      <c r="P101" s="865"/>
      <c r="Q101" s="866"/>
      <c r="R101" s="334"/>
      <c r="S101" s="427" t="s">
        <v>44</v>
      </c>
      <c r="T101" s="428"/>
      <c r="U101" s="428"/>
      <c r="V101" s="428"/>
      <c r="W101" s="428"/>
      <c r="X101" s="867"/>
      <c r="Y101" s="868"/>
      <c r="Z101" s="868"/>
      <c r="AA101" s="868"/>
      <c r="AB101" s="868"/>
      <c r="AC101" s="868"/>
      <c r="AD101" s="868"/>
      <c r="AE101" s="868"/>
      <c r="AF101" s="868"/>
      <c r="AG101" s="868"/>
      <c r="AH101" s="868"/>
      <c r="AI101" s="868"/>
      <c r="AJ101" s="869"/>
      <c r="AK101" s="136" t="s">
        <v>640</v>
      </c>
      <c r="AL101" s="280" t="s">
        <v>391</v>
      </c>
      <c r="AM101" s="280" t="s">
        <v>299</v>
      </c>
      <c r="AN101" s="280"/>
      <c r="AO101" s="417" t="s">
        <v>342</v>
      </c>
      <c r="AP101" s="417" t="s">
        <v>1234</v>
      </c>
      <c r="AQ101" s="417" t="s">
        <v>1235</v>
      </c>
      <c r="AR101" s="280"/>
    </row>
    <row r="102" spans="1:44" s="106" customFormat="1" ht="17.25" customHeight="1" x14ac:dyDescent="0.2">
      <c r="A102" s="432" t="s">
        <v>882</v>
      </c>
      <c r="B102" s="430"/>
      <c r="C102" s="430"/>
      <c r="D102" s="430"/>
      <c r="E102" s="430"/>
      <c r="F102" s="430"/>
      <c r="G102" s="433"/>
      <c r="H102" s="864"/>
      <c r="I102" s="865"/>
      <c r="J102" s="865"/>
      <c r="K102" s="865"/>
      <c r="L102" s="865"/>
      <c r="M102" s="865"/>
      <c r="N102" s="865"/>
      <c r="O102" s="865"/>
      <c r="P102" s="865"/>
      <c r="Q102" s="866"/>
      <c r="R102" s="334"/>
      <c r="S102" s="429" t="s">
        <v>42</v>
      </c>
      <c r="T102" s="430"/>
      <c r="U102" s="430"/>
      <c r="V102" s="430"/>
      <c r="W102" s="430"/>
      <c r="X102" s="870"/>
      <c r="Y102" s="871"/>
      <c r="Z102" s="871"/>
      <c r="AA102" s="871"/>
      <c r="AB102" s="871"/>
      <c r="AC102" s="871"/>
      <c r="AD102" s="871"/>
      <c r="AE102" s="871"/>
      <c r="AF102" s="871"/>
      <c r="AG102" s="871"/>
      <c r="AH102" s="871"/>
      <c r="AI102" s="871"/>
      <c r="AJ102" s="872"/>
      <c r="AK102" s="136" t="s">
        <v>200</v>
      </c>
      <c r="AL102" s="280" t="s">
        <v>392</v>
      </c>
      <c r="AM102" s="280" t="s">
        <v>298</v>
      </c>
      <c r="AN102" s="280"/>
      <c r="AO102" s="417" t="s">
        <v>344</v>
      </c>
      <c r="AP102" s="417" t="s">
        <v>1236</v>
      </c>
      <c r="AQ102" s="417" t="s">
        <v>1237</v>
      </c>
      <c r="AR102" s="280"/>
    </row>
    <row r="103" spans="1:44" s="106" customFormat="1" ht="17.25" customHeight="1" x14ac:dyDescent="0.2">
      <c r="A103" s="432" t="s">
        <v>883</v>
      </c>
      <c r="B103" s="430"/>
      <c r="C103" s="430"/>
      <c r="D103" s="430"/>
      <c r="E103" s="430"/>
      <c r="F103" s="430"/>
      <c r="G103" s="433"/>
      <c r="H103" s="905"/>
      <c r="I103" s="905"/>
      <c r="J103" s="905"/>
      <c r="K103" s="905"/>
      <c r="L103" s="905"/>
      <c r="M103" s="905"/>
      <c r="N103" s="905"/>
      <c r="O103" s="905"/>
      <c r="P103" s="905"/>
      <c r="Q103" s="905"/>
      <c r="R103" s="334"/>
      <c r="S103" s="425" t="s">
        <v>43</v>
      </c>
      <c r="T103" s="426"/>
      <c r="U103" s="426"/>
      <c r="V103" s="426"/>
      <c r="W103" s="426"/>
      <c r="X103" s="887"/>
      <c r="Y103" s="873"/>
      <c r="Z103" s="873"/>
      <c r="AA103" s="873"/>
      <c r="AB103" s="873"/>
      <c r="AC103" s="873"/>
      <c r="AD103" s="873"/>
      <c r="AE103" s="873"/>
      <c r="AF103" s="873"/>
      <c r="AG103" s="874"/>
      <c r="AH103" s="874"/>
      <c r="AI103" s="874"/>
      <c r="AJ103" s="875"/>
      <c r="AK103" s="136" t="s">
        <v>904</v>
      </c>
      <c r="AL103" s="284"/>
      <c r="AM103" s="280"/>
      <c r="AN103" s="280"/>
      <c r="AO103" s="417" t="s">
        <v>346</v>
      </c>
      <c r="AP103" s="417" t="s">
        <v>340</v>
      </c>
      <c r="AQ103" s="417" t="s">
        <v>331</v>
      </c>
      <c r="AR103" s="280"/>
    </row>
    <row r="104" spans="1:44" s="106" customFormat="1" ht="17.25" customHeight="1" thickBot="1" x14ac:dyDescent="0.25">
      <c r="A104" s="432" t="s">
        <v>23</v>
      </c>
      <c r="B104" s="430"/>
      <c r="C104" s="430"/>
      <c r="D104" s="430"/>
      <c r="E104" s="430"/>
      <c r="F104" s="430"/>
      <c r="G104" s="433"/>
      <c r="H104" s="864"/>
      <c r="I104" s="865"/>
      <c r="J104" s="865"/>
      <c r="K104" s="865"/>
      <c r="L104" s="865"/>
      <c r="M104" s="865"/>
      <c r="N104" s="865"/>
      <c r="O104" s="865"/>
      <c r="P104" s="865"/>
      <c r="Q104" s="866"/>
      <c r="R104" s="334"/>
      <c r="S104" s="431" t="s">
        <v>44</v>
      </c>
      <c r="T104" s="315"/>
      <c r="U104" s="315"/>
      <c r="V104" s="315"/>
      <c r="W104" s="315"/>
      <c r="X104" s="867"/>
      <c r="Y104" s="868"/>
      <c r="Z104" s="868"/>
      <c r="AA104" s="868"/>
      <c r="AB104" s="868"/>
      <c r="AC104" s="868"/>
      <c r="AD104" s="868"/>
      <c r="AE104" s="868"/>
      <c r="AF104" s="868"/>
      <c r="AG104" s="868"/>
      <c r="AH104" s="868"/>
      <c r="AI104" s="868"/>
      <c r="AJ104" s="869"/>
      <c r="AK104" s="136" t="s">
        <v>248</v>
      </c>
      <c r="AL104" s="284"/>
      <c r="AM104" s="280" t="s">
        <v>886</v>
      </c>
      <c r="AN104" s="280"/>
      <c r="AO104" s="417" t="s">
        <v>348</v>
      </c>
      <c r="AP104" s="417" t="s">
        <v>1238</v>
      </c>
      <c r="AQ104" s="417" t="s">
        <v>1239</v>
      </c>
      <c r="AR104" s="280"/>
    </row>
    <row r="105" spans="1:44" s="106" customFormat="1" ht="17.25" customHeight="1" thickBot="1" x14ac:dyDescent="0.25">
      <c r="A105" s="338" t="s">
        <v>884</v>
      </c>
      <c r="B105" s="281"/>
      <c r="C105" s="281"/>
      <c r="D105" s="281"/>
      <c r="E105" s="281"/>
      <c r="F105" s="281"/>
      <c r="G105" s="282"/>
      <c r="H105" s="899"/>
      <c r="I105" s="899"/>
      <c r="J105" s="899"/>
      <c r="K105" s="899"/>
      <c r="L105" s="899"/>
      <c r="M105" s="899"/>
      <c r="N105" s="899"/>
      <c r="O105" s="899"/>
      <c r="P105" s="899"/>
      <c r="Q105" s="899"/>
      <c r="R105" s="334"/>
      <c r="S105" s="423" t="s">
        <v>42</v>
      </c>
      <c r="T105" s="424"/>
      <c r="U105" s="424"/>
      <c r="V105" s="424"/>
      <c r="W105" s="424"/>
      <c r="X105" s="870"/>
      <c r="Y105" s="871"/>
      <c r="Z105" s="871"/>
      <c r="AA105" s="871"/>
      <c r="AB105" s="871"/>
      <c r="AC105" s="871"/>
      <c r="AD105" s="871"/>
      <c r="AE105" s="871"/>
      <c r="AF105" s="871"/>
      <c r="AG105" s="871"/>
      <c r="AH105" s="871"/>
      <c r="AI105" s="871"/>
      <c r="AJ105" s="872"/>
      <c r="AK105" s="136" t="s">
        <v>254</v>
      </c>
      <c r="AL105" s="284"/>
      <c r="AM105" s="280" t="s">
        <v>885</v>
      </c>
      <c r="AN105" s="280"/>
      <c r="AO105" s="417" t="s">
        <v>350</v>
      </c>
      <c r="AP105" s="417" t="s">
        <v>1240</v>
      </c>
      <c r="AQ105" s="417" t="s">
        <v>1241</v>
      </c>
      <c r="AR105" s="280"/>
    </row>
    <row r="106" spans="1:44" s="106" customFormat="1" ht="17.25" customHeight="1" x14ac:dyDescent="0.2">
      <c r="A106" s="432" t="s">
        <v>18</v>
      </c>
      <c r="B106" s="430"/>
      <c r="C106" s="430"/>
      <c r="D106" s="430"/>
      <c r="E106" s="430"/>
      <c r="F106" s="430"/>
      <c r="G106" s="433"/>
      <c r="H106" s="906"/>
      <c r="I106" s="907"/>
      <c r="J106" s="907"/>
      <c r="K106" s="907"/>
      <c r="L106" s="907"/>
      <c r="M106" s="907"/>
      <c r="N106" s="907"/>
      <c r="O106" s="907"/>
      <c r="P106" s="907"/>
      <c r="Q106" s="908"/>
      <c r="R106" s="334"/>
      <c r="S106" s="425" t="s">
        <v>43</v>
      </c>
      <c r="T106" s="426"/>
      <c r="U106" s="426"/>
      <c r="V106" s="426"/>
      <c r="W106" s="426"/>
      <c r="X106" s="887"/>
      <c r="Y106" s="873"/>
      <c r="Z106" s="873"/>
      <c r="AA106" s="873"/>
      <c r="AB106" s="873"/>
      <c r="AC106" s="873"/>
      <c r="AD106" s="873"/>
      <c r="AE106" s="873"/>
      <c r="AF106" s="873"/>
      <c r="AG106" s="874"/>
      <c r="AH106" s="874"/>
      <c r="AI106" s="874"/>
      <c r="AJ106" s="875"/>
      <c r="AK106" s="136" t="s">
        <v>908</v>
      </c>
      <c r="AL106" s="284"/>
      <c r="AM106" s="280" t="s">
        <v>887</v>
      </c>
      <c r="AN106" s="280"/>
      <c r="AO106" s="417" t="s">
        <v>353</v>
      </c>
      <c r="AP106" s="417" t="s">
        <v>1242</v>
      </c>
      <c r="AQ106" s="417" t="s">
        <v>1243</v>
      </c>
      <c r="AR106" s="280"/>
    </row>
    <row r="107" spans="1:44" s="106" customFormat="1" ht="17.25" customHeight="1" thickBot="1" x14ac:dyDescent="0.25">
      <c r="A107" s="432" t="s">
        <v>39</v>
      </c>
      <c r="B107" s="430"/>
      <c r="C107" s="430"/>
      <c r="D107" s="430"/>
      <c r="E107" s="430"/>
      <c r="F107" s="430"/>
      <c r="G107" s="433"/>
      <c r="H107" s="881"/>
      <c r="I107" s="882"/>
      <c r="J107" s="882"/>
      <c r="K107" s="882"/>
      <c r="L107" s="882"/>
      <c r="M107" s="882"/>
      <c r="N107" s="882"/>
      <c r="O107" s="882"/>
      <c r="P107" s="882"/>
      <c r="Q107" s="883"/>
      <c r="R107" s="334"/>
      <c r="S107" s="427" t="s">
        <v>44</v>
      </c>
      <c r="T107" s="428"/>
      <c r="U107" s="428"/>
      <c r="V107" s="428"/>
      <c r="W107" s="428"/>
      <c r="X107" s="867"/>
      <c r="Y107" s="868"/>
      <c r="Z107" s="868"/>
      <c r="AA107" s="868"/>
      <c r="AB107" s="868"/>
      <c r="AC107" s="868"/>
      <c r="AD107" s="868"/>
      <c r="AE107" s="868"/>
      <c r="AF107" s="868"/>
      <c r="AG107" s="868"/>
      <c r="AH107" s="868"/>
      <c r="AI107" s="868"/>
      <c r="AJ107" s="869"/>
      <c r="AK107" s="136" t="s">
        <v>910</v>
      </c>
      <c r="AL107" s="284"/>
      <c r="AM107" s="280"/>
      <c r="AN107" s="280"/>
      <c r="AO107" s="417" t="s">
        <v>356</v>
      </c>
      <c r="AP107" s="417" t="s">
        <v>1244</v>
      </c>
      <c r="AQ107" s="417" t="s">
        <v>333</v>
      </c>
      <c r="AR107" s="382"/>
    </row>
    <row r="108" spans="1:44" s="106" customFormat="1" ht="17.25" customHeight="1" x14ac:dyDescent="0.2">
      <c r="A108" s="434" t="s">
        <v>40</v>
      </c>
      <c r="B108" s="426"/>
      <c r="C108" s="426"/>
      <c r="D108" s="426"/>
      <c r="E108" s="435"/>
      <c r="F108" s="904" t="s">
        <v>887</v>
      </c>
      <c r="G108" s="904"/>
      <c r="H108" s="864"/>
      <c r="I108" s="865"/>
      <c r="J108" s="865"/>
      <c r="K108" s="865"/>
      <c r="L108" s="865"/>
      <c r="M108" s="865"/>
      <c r="N108" s="865"/>
      <c r="O108" s="865"/>
      <c r="P108" s="865"/>
      <c r="Q108" s="866"/>
      <c r="R108" s="334"/>
      <c r="S108" s="429" t="s">
        <v>42</v>
      </c>
      <c r="T108" s="430"/>
      <c r="U108" s="430"/>
      <c r="V108" s="430"/>
      <c r="W108" s="430"/>
      <c r="X108" s="870"/>
      <c r="Y108" s="871"/>
      <c r="Z108" s="871"/>
      <c r="AA108" s="871"/>
      <c r="AB108" s="871"/>
      <c r="AC108" s="871"/>
      <c r="AD108" s="871"/>
      <c r="AE108" s="871"/>
      <c r="AF108" s="871"/>
      <c r="AG108" s="871"/>
      <c r="AH108" s="871"/>
      <c r="AI108" s="871"/>
      <c r="AJ108" s="872"/>
      <c r="AK108" s="136" t="s">
        <v>535</v>
      </c>
      <c r="AL108" s="284"/>
      <c r="AM108" s="280" t="s">
        <v>219</v>
      </c>
      <c r="AN108" s="280"/>
      <c r="AO108" s="417" t="s">
        <v>358</v>
      </c>
      <c r="AP108" s="417" t="s">
        <v>345</v>
      </c>
      <c r="AQ108" s="417" t="s">
        <v>1245</v>
      </c>
      <c r="AR108" s="382"/>
    </row>
    <row r="109" spans="1:44" s="106" customFormat="1" ht="17.25" customHeight="1" x14ac:dyDescent="0.2">
      <c r="A109" s="434" t="s">
        <v>793</v>
      </c>
      <c r="B109" s="426"/>
      <c r="C109" s="426"/>
      <c r="D109" s="426"/>
      <c r="E109" s="426"/>
      <c r="F109" s="426"/>
      <c r="G109" s="435"/>
      <c r="H109" s="864"/>
      <c r="I109" s="865"/>
      <c r="J109" s="865"/>
      <c r="K109" s="865"/>
      <c r="L109" s="865"/>
      <c r="M109" s="865"/>
      <c r="N109" s="865"/>
      <c r="O109" s="865"/>
      <c r="P109" s="865"/>
      <c r="Q109" s="866"/>
      <c r="R109" s="334"/>
      <c r="S109" s="425" t="s">
        <v>43</v>
      </c>
      <c r="T109" s="426"/>
      <c r="U109" s="426"/>
      <c r="V109" s="426"/>
      <c r="W109" s="426"/>
      <c r="X109" s="887"/>
      <c r="Y109" s="873"/>
      <c r="Z109" s="873"/>
      <c r="AA109" s="873"/>
      <c r="AB109" s="873"/>
      <c r="AC109" s="873"/>
      <c r="AD109" s="873"/>
      <c r="AE109" s="873"/>
      <c r="AF109" s="873"/>
      <c r="AG109" s="874"/>
      <c r="AH109" s="874"/>
      <c r="AI109" s="874"/>
      <c r="AJ109" s="875"/>
      <c r="AK109" s="136" t="s">
        <v>250</v>
      </c>
      <c r="AL109" s="284"/>
      <c r="AM109" s="280" t="s">
        <v>220</v>
      </c>
      <c r="AN109" s="280"/>
      <c r="AO109" s="417" t="s">
        <v>360</v>
      </c>
      <c r="AP109" s="417" t="s">
        <v>1246</v>
      </c>
      <c r="AQ109" s="417" t="s">
        <v>1247</v>
      </c>
      <c r="AR109" s="382"/>
    </row>
    <row r="110" spans="1:44" s="106" customFormat="1" ht="17.25" customHeight="1" thickBot="1" x14ac:dyDescent="0.25">
      <c r="A110" s="434" t="s">
        <v>528</v>
      </c>
      <c r="B110" s="426"/>
      <c r="C110" s="426"/>
      <c r="D110" s="426"/>
      <c r="E110" s="426"/>
      <c r="F110" s="426"/>
      <c r="G110" s="435"/>
      <c r="H110" s="864">
        <v>3</v>
      </c>
      <c r="I110" s="865"/>
      <c r="J110" s="865"/>
      <c r="K110" s="865"/>
      <c r="L110" s="865"/>
      <c r="M110" s="865"/>
      <c r="N110" s="865"/>
      <c r="O110" s="865"/>
      <c r="P110" s="865"/>
      <c r="Q110" s="866"/>
      <c r="R110" s="334"/>
      <c r="S110" s="431" t="s">
        <v>44</v>
      </c>
      <c r="T110" s="315"/>
      <c r="U110" s="315"/>
      <c r="V110" s="315"/>
      <c r="W110" s="315"/>
      <c r="X110" s="867"/>
      <c r="Y110" s="868"/>
      <c r="Z110" s="868"/>
      <c r="AA110" s="868"/>
      <c r="AB110" s="868"/>
      <c r="AC110" s="868"/>
      <c r="AD110" s="868"/>
      <c r="AE110" s="868"/>
      <c r="AF110" s="868"/>
      <c r="AG110" s="868"/>
      <c r="AH110" s="868"/>
      <c r="AI110" s="868"/>
      <c r="AJ110" s="869"/>
      <c r="AK110" s="136" t="s">
        <v>252</v>
      </c>
      <c r="AL110" s="284"/>
      <c r="AM110" s="280" t="s">
        <v>221</v>
      </c>
      <c r="AN110" s="280"/>
      <c r="AO110" s="417" t="s">
        <v>362</v>
      </c>
      <c r="AP110" s="417" t="s">
        <v>349</v>
      </c>
      <c r="AQ110" s="417" t="s">
        <v>1248</v>
      </c>
      <c r="AR110" s="382"/>
    </row>
    <row r="111" spans="1:44" s="106" customFormat="1" ht="17.25" customHeight="1" x14ac:dyDescent="0.2">
      <c r="A111" s="434" t="s">
        <v>529</v>
      </c>
      <c r="B111" s="426"/>
      <c r="C111" s="426"/>
      <c r="D111" s="426"/>
      <c r="E111" s="426"/>
      <c r="F111" s="426"/>
      <c r="G111" s="435"/>
      <c r="H111" s="864">
        <v>12</v>
      </c>
      <c r="I111" s="865"/>
      <c r="J111" s="865"/>
      <c r="K111" s="865"/>
      <c r="L111" s="865"/>
      <c r="M111" s="865"/>
      <c r="N111" s="865"/>
      <c r="O111" s="865"/>
      <c r="P111" s="865"/>
      <c r="Q111" s="866"/>
      <c r="R111" s="334"/>
      <c r="S111" s="423" t="s">
        <v>42</v>
      </c>
      <c r="T111" s="424"/>
      <c r="U111" s="424"/>
      <c r="V111" s="424"/>
      <c r="W111" s="424"/>
      <c r="X111" s="870"/>
      <c r="Y111" s="871"/>
      <c r="Z111" s="871"/>
      <c r="AA111" s="871"/>
      <c r="AB111" s="871"/>
      <c r="AC111" s="871"/>
      <c r="AD111" s="871"/>
      <c r="AE111" s="871"/>
      <c r="AF111" s="871"/>
      <c r="AG111" s="871"/>
      <c r="AH111" s="871"/>
      <c r="AI111" s="871"/>
      <c r="AJ111" s="872"/>
      <c r="AK111" s="136" t="s">
        <v>249</v>
      </c>
      <c r="AL111" s="284"/>
      <c r="AM111" s="280"/>
      <c r="AN111" s="280"/>
      <c r="AO111" s="417" t="s">
        <v>365</v>
      </c>
      <c r="AP111" s="417" t="s">
        <v>1249</v>
      </c>
      <c r="AQ111" s="417" t="s">
        <v>337</v>
      </c>
      <c r="AR111" s="382"/>
    </row>
    <row r="112" spans="1:44" s="106" customFormat="1" ht="17.25" customHeight="1" x14ac:dyDescent="0.2">
      <c r="A112" s="434" t="s">
        <v>530</v>
      </c>
      <c r="B112" s="426"/>
      <c r="C112" s="426"/>
      <c r="D112" s="426"/>
      <c r="E112" s="426"/>
      <c r="F112" s="426"/>
      <c r="G112" s="435"/>
      <c r="H112" s="864" t="s">
        <v>1470</v>
      </c>
      <c r="I112" s="865"/>
      <c r="J112" s="865"/>
      <c r="K112" s="865"/>
      <c r="L112" s="865"/>
      <c r="M112" s="865"/>
      <c r="N112" s="865"/>
      <c r="O112" s="865"/>
      <c r="P112" s="865"/>
      <c r="Q112" s="866"/>
      <c r="R112" s="334"/>
      <c r="S112" s="425" t="s">
        <v>43</v>
      </c>
      <c r="T112" s="426"/>
      <c r="U112" s="426"/>
      <c r="V112" s="426"/>
      <c r="W112" s="426"/>
      <c r="X112" s="887"/>
      <c r="Y112" s="873"/>
      <c r="Z112" s="873"/>
      <c r="AA112" s="873"/>
      <c r="AB112" s="873"/>
      <c r="AC112" s="873"/>
      <c r="AD112" s="873"/>
      <c r="AE112" s="873"/>
      <c r="AF112" s="873"/>
      <c r="AG112" s="874"/>
      <c r="AH112" s="874"/>
      <c r="AI112" s="874"/>
      <c r="AJ112" s="875"/>
      <c r="AK112" s="136" t="s">
        <v>253</v>
      </c>
      <c r="AL112" s="284"/>
      <c r="AM112" s="280" t="s">
        <v>2</v>
      </c>
      <c r="AN112" s="280"/>
      <c r="AO112" s="417" t="s">
        <v>366</v>
      </c>
      <c r="AP112" s="417" t="s">
        <v>351</v>
      </c>
      <c r="AQ112" s="417" t="s">
        <v>1250</v>
      </c>
      <c r="AR112" s="382"/>
    </row>
    <row r="113" spans="1:44" s="106" customFormat="1" ht="17.25" customHeight="1" thickBot="1" x14ac:dyDescent="0.25">
      <c r="A113" s="434" t="s">
        <v>531</v>
      </c>
      <c r="B113" s="426"/>
      <c r="C113" s="426"/>
      <c r="D113" s="426"/>
      <c r="E113" s="426"/>
      <c r="F113" s="426"/>
      <c r="G113" s="435"/>
      <c r="H113" s="864">
        <v>8</v>
      </c>
      <c r="I113" s="865"/>
      <c r="J113" s="865"/>
      <c r="K113" s="865"/>
      <c r="L113" s="865"/>
      <c r="M113" s="865"/>
      <c r="N113" s="865"/>
      <c r="O113" s="865"/>
      <c r="P113" s="865"/>
      <c r="Q113" s="866"/>
      <c r="R113" s="334"/>
      <c r="S113" s="427" t="s">
        <v>44</v>
      </c>
      <c r="T113" s="428"/>
      <c r="U113" s="428"/>
      <c r="V113" s="428"/>
      <c r="W113" s="428"/>
      <c r="X113" s="867"/>
      <c r="Y113" s="868"/>
      <c r="Z113" s="868"/>
      <c r="AA113" s="868"/>
      <c r="AB113" s="868"/>
      <c r="AC113" s="868"/>
      <c r="AD113" s="868"/>
      <c r="AE113" s="868"/>
      <c r="AF113" s="868"/>
      <c r="AG113" s="868"/>
      <c r="AH113" s="868"/>
      <c r="AI113" s="868"/>
      <c r="AJ113" s="869"/>
      <c r="AK113" s="280">
        <f>H121</f>
        <v>0</v>
      </c>
      <c r="AL113" s="280"/>
      <c r="AM113" s="280" t="s">
        <v>3</v>
      </c>
      <c r="AN113" s="280"/>
      <c r="AO113" s="417" t="s">
        <v>368</v>
      </c>
      <c r="AP113" s="417" t="s">
        <v>1251</v>
      </c>
      <c r="AQ113" s="417" t="s">
        <v>1252</v>
      </c>
      <c r="AR113" s="382"/>
    </row>
    <row r="114" spans="1:44" s="106" customFormat="1" ht="17.25" customHeight="1" x14ac:dyDescent="0.2">
      <c r="A114" s="434" t="s">
        <v>609</v>
      </c>
      <c r="B114" s="426"/>
      <c r="C114" s="426"/>
      <c r="D114" s="426"/>
      <c r="E114" s="426"/>
      <c r="F114" s="426"/>
      <c r="G114" s="435"/>
      <c r="H114" s="881"/>
      <c r="I114" s="882"/>
      <c r="J114" s="882"/>
      <c r="K114" s="882"/>
      <c r="L114" s="882"/>
      <c r="M114" s="882"/>
      <c r="N114" s="882"/>
      <c r="O114" s="882"/>
      <c r="P114" s="882"/>
      <c r="Q114" s="883"/>
      <c r="R114" s="334"/>
      <c r="S114" s="429" t="s">
        <v>42</v>
      </c>
      <c r="T114" s="430"/>
      <c r="U114" s="430"/>
      <c r="V114" s="430"/>
      <c r="W114" s="430"/>
      <c r="X114" s="870"/>
      <c r="Y114" s="871"/>
      <c r="Z114" s="871"/>
      <c r="AA114" s="871"/>
      <c r="AB114" s="871"/>
      <c r="AC114" s="871"/>
      <c r="AD114" s="871"/>
      <c r="AE114" s="871"/>
      <c r="AF114" s="871"/>
      <c r="AG114" s="871"/>
      <c r="AH114" s="871"/>
      <c r="AI114" s="871"/>
      <c r="AJ114" s="872"/>
      <c r="AK114" s="280"/>
      <c r="AL114" s="280"/>
      <c r="AM114" s="280"/>
      <c r="AN114" s="280"/>
      <c r="AO114" s="417" t="s">
        <v>371</v>
      </c>
      <c r="AP114" s="417" t="s">
        <v>1253</v>
      </c>
      <c r="AQ114" s="417" t="s">
        <v>1254</v>
      </c>
      <c r="AR114" s="382"/>
    </row>
    <row r="115" spans="1:44" s="106" customFormat="1" ht="17.25" customHeight="1" x14ac:dyDescent="0.2">
      <c r="A115" s="434" t="s">
        <v>17</v>
      </c>
      <c r="B115" s="426"/>
      <c r="C115" s="426"/>
      <c r="D115" s="426"/>
      <c r="E115" s="426"/>
      <c r="F115" s="426"/>
      <c r="G115" s="435"/>
      <c r="H115" s="884"/>
      <c r="I115" s="885"/>
      <c r="J115" s="885"/>
      <c r="K115" s="885"/>
      <c r="L115" s="885"/>
      <c r="M115" s="885"/>
      <c r="N115" s="885"/>
      <c r="O115" s="885"/>
      <c r="P115" s="885"/>
      <c r="Q115" s="886"/>
      <c r="R115" s="334"/>
      <c r="S115" s="425" t="s">
        <v>43</v>
      </c>
      <c r="T115" s="426"/>
      <c r="U115" s="426"/>
      <c r="V115" s="426"/>
      <c r="W115" s="426"/>
      <c r="X115" s="887"/>
      <c r="Y115" s="873"/>
      <c r="Z115" s="873"/>
      <c r="AA115" s="873"/>
      <c r="AB115" s="873"/>
      <c r="AC115" s="873"/>
      <c r="AD115" s="873"/>
      <c r="AE115" s="873"/>
      <c r="AF115" s="873"/>
      <c r="AG115" s="874"/>
      <c r="AH115" s="874"/>
      <c r="AI115" s="874"/>
      <c r="AJ115" s="875"/>
      <c r="AK115" s="280" t="s">
        <v>151</v>
      </c>
      <c r="AL115" s="280" t="s">
        <v>151</v>
      </c>
      <c r="AM115" s="280" t="s">
        <v>151</v>
      </c>
      <c r="AN115" s="280" t="s">
        <v>151</v>
      </c>
      <c r="AO115" s="417" t="s">
        <v>374</v>
      </c>
      <c r="AP115" s="417" t="s">
        <v>1255</v>
      </c>
      <c r="AQ115" s="417" t="s">
        <v>1256</v>
      </c>
      <c r="AR115" s="382"/>
    </row>
    <row r="116" spans="1:44" s="106" customFormat="1" ht="17.25" customHeight="1" thickBot="1" x14ac:dyDescent="0.25">
      <c r="A116" s="434" t="s">
        <v>532</v>
      </c>
      <c r="B116" s="426"/>
      <c r="C116" s="426"/>
      <c r="D116" s="426"/>
      <c r="E116" s="426"/>
      <c r="F116" s="426"/>
      <c r="G116" s="435"/>
      <c r="H116" s="884"/>
      <c r="I116" s="885"/>
      <c r="J116" s="885"/>
      <c r="K116" s="885"/>
      <c r="L116" s="885"/>
      <c r="M116" s="885"/>
      <c r="N116" s="885"/>
      <c r="O116" s="885"/>
      <c r="P116" s="885"/>
      <c r="Q116" s="886"/>
      <c r="R116" s="339"/>
      <c r="S116" s="427" t="s">
        <v>44</v>
      </c>
      <c r="T116" s="428"/>
      <c r="U116" s="428"/>
      <c r="V116" s="428"/>
      <c r="W116" s="428"/>
      <c r="X116" s="867"/>
      <c r="Y116" s="868"/>
      <c r="Z116" s="868"/>
      <c r="AA116" s="868"/>
      <c r="AB116" s="868"/>
      <c r="AC116" s="868"/>
      <c r="AD116" s="868"/>
      <c r="AE116" s="868"/>
      <c r="AF116" s="868"/>
      <c r="AG116" s="868"/>
      <c r="AH116" s="868"/>
      <c r="AI116" s="868"/>
      <c r="AJ116" s="869"/>
      <c r="AK116" s="280" t="s">
        <v>923</v>
      </c>
      <c r="AL116" s="310" t="str">
        <f>IF('F1'!N$1&gt;0,'F1'!N$1,"")</f>
        <v/>
      </c>
      <c r="AM116" s="310" t="str">
        <f>IF('F1'!O$1&gt;0,'F1'!O$1,"")</f>
        <v/>
      </c>
      <c r="AN116" s="310" t="str">
        <f>IF('F1'!P$1&gt;0,'F1'!P$1,"")</f>
        <v/>
      </c>
      <c r="AO116" s="417" t="s">
        <v>1035</v>
      </c>
      <c r="AP116" s="417" t="s">
        <v>1257</v>
      </c>
      <c r="AQ116" s="417" t="s">
        <v>1258</v>
      </c>
      <c r="AR116" s="382"/>
    </row>
    <row r="117" spans="1:44" s="106" customFormat="1" ht="17.25" customHeight="1" x14ac:dyDescent="0.2">
      <c r="A117" s="434" t="s">
        <v>257</v>
      </c>
      <c r="B117" s="426"/>
      <c r="C117" s="426"/>
      <c r="D117" s="426"/>
      <c r="E117" s="426"/>
      <c r="F117" s="426"/>
      <c r="G117" s="435"/>
      <c r="H117" s="864" t="s">
        <v>1471</v>
      </c>
      <c r="I117" s="865"/>
      <c r="J117" s="865"/>
      <c r="K117" s="865"/>
      <c r="L117" s="865"/>
      <c r="M117" s="865"/>
      <c r="N117" s="865"/>
      <c r="O117" s="865"/>
      <c r="P117" s="865"/>
      <c r="Q117" s="866"/>
      <c r="R117" s="339"/>
      <c r="S117" s="308" t="s">
        <v>920</v>
      </c>
      <c r="T117" s="9"/>
      <c r="U117" s="9"/>
      <c r="V117" s="9"/>
      <c r="W117" s="9"/>
      <c r="X117" s="2"/>
      <c r="Y117" s="2"/>
      <c r="Z117" s="2"/>
      <c r="AA117" s="2"/>
      <c r="AB117" s="2"/>
      <c r="AC117" s="334"/>
      <c r="AD117" s="334"/>
      <c r="AE117" s="334"/>
      <c r="AF117" s="334"/>
      <c r="AG117" s="334"/>
      <c r="AH117" s="334"/>
      <c r="AI117" s="334"/>
      <c r="AJ117" s="335"/>
      <c r="AK117" s="280" t="s">
        <v>925</v>
      </c>
      <c r="AL117" s="310" t="str">
        <f>IF('F2'!N$1&gt;0,'F2'!N$1,"")</f>
        <v/>
      </c>
      <c r="AM117" s="310" t="str">
        <f>IF('F2'!O$1&gt;0,'F2'!O$1,"")</f>
        <v/>
      </c>
      <c r="AN117" s="310" t="str">
        <f>IF('F2'!P$1&gt;0,'F2'!P$1,"")</f>
        <v/>
      </c>
      <c r="AO117" s="417" t="s">
        <v>375</v>
      </c>
      <c r="AP117" s="417" t="s">
        <v>1259</v>
      </c>
      <c r="AQ117" s="417" t="s">
        <v>1260</v>
      </c>
      <c r="AR117" s="382"/>
    </row>
    <row r="118" spans="1:44" s="106" customFormat="1" ht="17.25" customHeight="1" x14ac:dyDescent="0.2">
      <c r="A118" s="434" t="s">
        <v>256</v>
      </c>
      <c r="B118" s="426"/>
      <c r="C118" s="426"/>
      <c r="D118" s="426"/>
      <c r="E118" s="426"/>
      <c r="F118" s="426"/>
      <c r="G118" s="435"/>
      <c r="H118" s="881" t="s">
        <v>1472</v>
      </c>
      <c r="I118" s="882"/>
      <c r="J118" s="882"/>
      <c r="K118" s="882"/>
      <c r="L118" s="882"/>
      <c r="M118" s="882"/>
      <c r="N118" s="882"/>
      <c r="O118" s="882"/>
      <c r="P118" s="882"/>
      <c r="Q118" s="883"/>
      <c r="R118" s="334"/>
      <c r="S118" s="876"/>
      <c r="T118" s="877"/>
      <c r="U118" s="877"/>
      <c r="V118" s="877"/>
      <c r="W118" s="877"/>
      <c r="X118" s="877"/>
      <c r="Y118" s="877"/>
      <c r="Z118" s="877"/>
      <c r="AA118" s="877"/>
      <c r="AB118" s="877"/>
      <c r="AC118" s="877"/>
      <c r="AD118" s="877"/>
      <c r="AE118" s="877"/>
      <c r="AF118" s="877"/>
      <c r="AG118" s="877"/>
      <c r="AH118" s="878"/>
      <c r="AI118" s="334"/>
      <c r="AJ118" s="335"/>
      <c r="AK118" s="280" t="s">
        <v>927</v>
      </c>
      <c r="AL118" s="310" t="e">
        <f>IF(#REF!&gt;0,#REF!,"")</f>
        <v>#REF!</v>
      </c>
      <c r="AM118" s="310" t="e">
        <f>IF(#REF!&gt;0,#REF!,"")</f>
        <v>#REF!</v>
      </c>
      <c r="AN118" s="310" t="e">
        <f>IF(#REF!&gt;0,#REF!,"")</f>
        <v>#REF!</v>
      </c>
      <c r="AO118" s="417"/>
      <c r="AP118" s="417" t="s">
        <v>1261</v>
      </c>
      <c r="AQ118" s="417" t="s">
        <v>1262</v>
      </c>
      <c r="AR118" s="382"/>
    </row>
    <row r="119" spans="1:44" ht="17.25" customHeight="1" x14ac:dyDescent="0.2">
      <c r="A119" s="434" t="s">
        <v>533</v>
      </c>
      <c r="B119" s="426"/>
      <c r="C119" s="426"/>
      <c r="D119" s="426"/>
      <c r="E119" s="426"/>
      <c r="F119" s="426"/>
      <c r="G119" s="435"/>
      <c r="H119" s="881">
        <v>41796</v>
      </c>
      <c r="I119" s="882"/>
      <c r="J119" s="882"/>
      <c r="K119" s="882"/>
      <c r="L119" s="882"/>
      <c r="M119" s="882"/>
      <c r="N119" s="882"/>
      <c r="O119" s="882"/>
      <c r="P119" s="882"/>
      <c r="Q119" s="883"/>
      <c r="R119" s="9"/>
      <c r="S119" s="876"/>
      <c r="T119" s="877"/>
      <c r="U119" s="877"/>
      <c r="V119" s="877"/>
      <c r="W119" s="877"/>
      <c r="X119" s="877"/>
      <c r="Y119" s="877"/>
      <c r="Z119" s="877"/>
      <c r="AA119" s="877"/>
      <c r="AB119" s="877"/>
      <c r="AC119" s="877"/>
      <c r="AD119" s="877"/>
      <c r="AE119" s="877"/>
      <c r="AF119" s="877"/>
      <c r="AG119" s="877"/>
      <c r="AH119" s="878"/>
      <c r="AI119" s="9"/>
      <c r="AJ119" s="341"/>
      <c r="AK119" s="280" t="s">
        <v>929</v>
      </c>
      <c r="AL119" s="310" t="e">
        <f>IF(#REF!&gt;0,#REF!,"")</f>
        <v>#REF!</v>
      </c>
      <c r="AM119" s="310" t="e">
        <f>IF(#REF!&gt;0,#REF!,"")</f>
        <v>#REF!</v>
      </c>
      <c r="AN119" s="310" t="e">
        <f>IF(#REF!&gt;0,#REF!,"")</f>
        <v>#REF!</v>
      </c>
      <c r="AO119" s="417"/>
      <c r="AP119" s="417" t="s">
        <v>1263</v>
      </c>
      <c r="AQ119" s="417" t="s">
        <v>1264</v>
      </c>
      <c r="AR119" s="382"/>
    </row>
    <row r="120" spans="1:44" ht="17.25" customHeight="1" x14ac:dyDescent="0.2">
      <c r="A120" s="434" t="s">
        <v>534</v>
      </c>
      <c r="B120" s="426"/>
      <c r="C120" s="426"/>
      <c r="D120" s="426"/>
      <c r="E120" s="426"/>
      <c r="F120" s="426"/>
      <c r="G120" s="435"/>
      <c r="H120" s="864" t="s">
        <v>1457</v>
      </c>
      <c r="I120" s="865"/>
      <c r="J120" s="865"/>
      <c r="K120" s="865"/>
      <c r="L120" s="865"/>
      <c r="M120" s="865"/>
      <c r="N120" s="865"/>
      <c r="O120" s="865"/>
      <c r="P120" s="865"/>
      <c r="Q120" s="866"/>
      <c r="R120" s="9"/>
      <c r="S120" s="876"/>
      <c r="T120" s="877"/>
      <c r="U120" s="877"/>
      <c r="V120" s="877"/>
      <c r="W120" s="877"/>
      <c r="X120" s="877"/>
      <c r="Y120" s="877"/>
      <c r="Z120" s="877"/>
      <c r="AA120" s="877"/>
      <c r="AB120" s="877"/>
      <c r="AC120" s="877"/>
      <c r="AD120" s="877"/>
      <c r="AE120" s="877"/>
      <c r="AF120" s="877"/>
      <c r="AG120" s="877"/>
      <c r="AH120" s="878"/>
      <c r="AI120" s="9"/>
      <c r="AJ120" s="341"/>
      <c r="AK120" s="280" t="s">
        <v>930</v>
      </c>
      <c r="AL120" s="310" t="e">
        <f>IF(#REF!&gt;0,#REF!,"")</f>
        <v>#REF!</v>
      </c>
      <c r="AM120" s="310" t="e">
        <f>IF(#REF!&gt;0,#REF!,"")</f>
        <v>#REF!</v>
      </c>
      <c r="AN120" s="310" t="e">
        <f>IF(#REF!&gt;0,#REF!,"")</f>
        <v>#REF!</v>
      </c>
      <c r="AO120" s="417"/>
      <c r="AP120" s="417" t="s">
        <v>1265</v>
      </c>
      <c r="AQ120" s="417" t="s">
        <v>1266</v>
      </c>
      <c r="AR120" s="10"/>
    </row>
    <row r="121" spans="1:44" ht="17.25" customHeight="1" x14ac:dyDescent="0.2">
      <c r="A121" s="879" t="s">
        <v>988</v>
      </c>
      <c r="B121" s="880"/>
      <c r="C121" s="880"/>
      <c r="D121" s="880"/>
      <c r="E121" s="880"/>
      <c r="F121" s="880"/>
      <c r="G121" s="880"/>
      <c r="H121" s="888"/>
      <c r="I121" s="889"/>
      <c r="J121" s="889"/>
      <c r="K121" s="889"/>
      <c r="L121" s="889"/>
      <c r="M121" s="889"/>
      <c r="N121" s="889"/>
      <c r="O121" s="889"/>
      <c r="P121" s="889"/>
      <c r="Q121" s="890"/>
      <c r="R121" s="9"/>
      <c r="S121" s="366" t="s">
        <v>240</v>
      </c>
      <c r="T121" s="9"/>
      <c r="U121" s="9"/>
      <c r="V121" s="9"/>
      <c r="W121" s="9"/>
      <c r="X121" s="2"/>
      <c r="Y121" s="2"/>
      <c r="Z121" s="2"/>
      <c r="AA121" s="2"/>
      <c r="AB121" s="2"/>
      <c r="AC121" s="9"/>
      <c r="AD121" s="9"/>
      <c r="AE121" s="9"/>
      <c r="AF121" s="9"/>
      <c r="AG121" s="9"/>
      <c r="AH121" s="9"/>
      <c r="AI121" s="9"/>
      <c r="AJ121" s="341"/>
      <c r="AK121" s="280" t="s">
        <v>931</v>
      </c>
      <c r="AL121" s="310" t="e">
        <f>IF(#REF!&gt;0,#REF!,"")</f>
        <v>#REF!</v>
      </c>
      <c r="AM121" s="310" t="e">
        <f>IF(#REF!&gt;0,#REF!,"")</f>
        <v>#REF!</v>
      </c>
      <c r="AN121" s="310" t="e">
        <f>IF(#REF!&gt;0,#REF!,"")</f>
        <v>#REF!</v>
      </c>
      <c r="AO121" s="417"/>
      <c r="AP121" s="417" t="s">
        <v>1267</v>
      </c>
      <c r="AQ121" s="417" t="s">
        <v>1268</v>
      </c>
      <c r="AR121" s="10"/>
    </row>
    <row r="122" spans="1:44" ht="17.25" customHeight="1" x14ac:dyDescent="0.2">
      <c r="A122" s="879"/>
      <c r="B122" s="880"/>
      <c r="C122" s="880"/>
      <c r="D122" s="880"/>
      <c r="E122" s="880"/>
      <c r="F122" s="880"/>
      <c r="G122" s="880"/>
      <c r="H122" s="9"/>
      <c r="I122" s="9"/>
      <c r="J122" s="9"/>
      <c r="M122" s="9"/>
      <c r="N122" s="9"/>
      <c r="O122" s="9"/>
      <c r="P122" s="9"/>
      <c r="Q122" s="9"/>
      <c r="R122" s="9"/>
      <c r="S122" s="366" t="s">
        <v>241</v>
      </c>
      <c r="T122" s="9"/>
      <c r="U122" s="9"/>
      <c r="V122" s="9"/>
      <c r="W122" s="9"/>
      <c r="X122" s="2"/>
      <c r="Y122" s="2"/>
      <c r="Z122" s="2"/>
      <c r="AA122" s="2"/>
      <c r="AB122" s="2"/>
      <c r="AC122" s="9"/>
      <c r="AD122" s="9"/>
      <c r="AE122" s="9"/>
      <c r="AF122" s="9"/>
      <c r="AG122" s="9"/>
      <c r="AH122" s="9"/>
      <c r="AI122" s="9"/>
      <c r="AJ122" s="341"/>
      <c r="AK122" s="280" t="s">
        <v>924</v>
      </c>
      <c r="AL122" s="310" t="str">
        <f>IF('G1'!P$1&gt;0,'G1'!P$1,"")</f>
        <v/>
      </c>
      <c r="AM122" s="310" t="str">
        <f>IF('G1'!P$2&gt;0,'G1'!P$2,"")</f>
        <v/>
      </c>
      <c r="AN122" s="310" t="str">
        <f>IF('G1'!P$3&gt;0,'G1'!P$3,"")</f>
        <v/>
      </c>
      <c r="AO122" s="417"/>
      <c r="AP122" s="417" t="s">
        <v>1269</v>
      </c>
      <c r="AQ122" s="417" t="s">
        <v>1270</v>
      </c>
      <c r="AR122" s="10"/>
    </row>
    <row r="123" spans="1:44" ht="12.75" customHeight="1" x14ac:dyDescent="0.2">
      <c r="J123" s="9"/>
      <c r="P123" s="366" t="s">
        <v>241</v>
      </c>
      <c r="Q123" s="366" t="s">
        <v>240</v>
      </c>
      <c r="R123" s="9"/>
      <c r="S123" s="366" t="s">
        <v>239</v>
      </c>
      <c r="U123" s="9"/>
      <c r="V123" s="9"/>
      <c r="W123" s="9"/>
      <c r="X123" s="2"/>
      <c r="Y123" s="2"/>
      <c r="Z123" s="2"/>
      <c r="AA123" s="2"/>
      <c r="AB123" s="2"/>
      <c r="AC123" s="9"/>
      <c r="AD123" s="9"/>
      <c r="AE123" s="9"/>
      <c r="AF123" s="9"/>
      <c r="AG123" s="9"/>
      <c r="AH123" s="9"/>
      <c r="AI123" s="9"/>
      <c r="AJ123" s="341"/>
      <c r="AK123" s="280" t="s">
        <v>926</v>
      </c>
      <c r="AL123" s="310" t="str">
        <f>IF('G2'!P$1&gt;0,'G2'!P$1,"")</f>
        <v/>
      </c>
      <c r="AM123" s="310" t="str">
        <f>IF('G2'!P$2&gt;0,'G2'!P$2,"")</f>
        <v/>
      </c>
      <c r="AN123" s="310" t="str">
        <f>IF('G2'!P$3&gt;0,'G2'!P$3,"")</f>
        <v/>
      </c>
      <c r="AO123" s="417"/>
      <c r="AP123" s="417" t="s">
        <v>363</v>
      </c>
      <c r="AQ123" s="417" t="s">
        <v>1271</v>
      </c>
      <c r="AR123" s="10"/>
    </row>
    <row r="124" spans="1:44" x14ac:dyDescent="0.2">
      <c r="A124" s="464"/>
      <c r="B124" s="3"/>
      <c r="C124" s="3"/>
      <c r="D124" s="3"/>
      <c r="E124" s="3"/>
      <c r="F124" s="3"/>
      <c r="G124" s="3"/>
      <c r="H124" s="3"/>
      <c r="I124" s="3"/>
      <c r="J124" s="9"/>
      <c r="K124" s="366" t="s">
        <v>238</v>
      </c>
      <c r="L124" s="366" t="s">
        <v>239</v>
      </c>
      <c r="M124" s="366" t="s">
        <v>241</v>
      </c>
      <c r="N124" s="366" t="s">
        <v>240</v>
      </c>
      <c r="O124" s="9"/>
      <c r="P124" s="366" t="s">
        <v>238</v>
      </c>
      <c r="Q124" s="366" t="s">
        <v>239</v>
      </c>
      <c r="R124" s="9"/>
      <c r="S124" s="366" t="s">
        <v>238</v>
      </c>
      <c r="U124" s="9"/>
      <c r="V124" s="9"/>
      <c r="W124" s="9"/>
      <c r="X124" s="2"/>
      <c r="Y124" s="2"/>
      <c r="Z124" s="2"/>
      <c r="AA124" s="2"/>
      <c r="AB124" s="2"/>
      <c r="AC124" s="9"/>
      <c r="AD124" s="9"/>
      <c r="AE124" s="9"/>
      <c r="AF124" s="9"/>
      <c r="AG124" s="9"/>
      <c r="AH124" s="9"/>
      <c r="AI124" s="9"/>
      <c r="AJ124" s="341"/>
      <c r="AK124" s="280" t="s">
        <v>928</v>
      </c>
      <c r="AL124" s="310" t="str">
        <f>IF('G3'!P$1&gt;0,'G3'!P$1,"")</f>
        <v/>
      </c>
      <c r="AM124" s="310" t="str">
        <f>IF('G3'!P$2&gt;0,'G3'!P$2,"")</f>
        <v/>
      </c>
      <c r="AN124" s="310" t="str">
        <f>IF('G3'!P$3&gt;0,'G3'!P$3,"")</f>
        <v/>
      </c>
      <c r="AO124" s="417"/>
      <c r="AP124" s="417" t="s">
        <v>1272</v>
      </c>
      <c r="AQ124" s="417" t="s">
        <v>1273</v>
      </c>
      <c r="AR124" s="10"/>
    </row>
    <row r="125" spans="1:44" x14ac:dyDescent="0.2">
      <c r="A125" s="387"/>
      <c r="B125" s="9"/>
      <c r="C125" s="9"/>
      <c r="D125" s="9"/>
      <c r="E125" s="9"/>
      <c r="F125" s="9"/>
      <c r="G125" s="9"/>
      <c r="K125" s="158" t="s">
        <v>221</v>
      </c>
      <c r="M125" s="9"/>
      <c r="N125" s="9"/>
      <c r="O125" s="9"/>
      <c r="P125" s="158" t="s">
        <v>219</v>
      </c>
      <c r="Q125" s="9"/>
      <c r="R125" s="9"/>
      <c r="S125" s="343" t="s">
        <v>220</v>
      </c>
      <c r="U125" s="9"/>
      <c r="V125" s="9"/>
      <c r="X125" s="2"/>
      <c r="Y125" s="2"/>
      <c r="Z125" s="2"/>
      <c r="AA125" s="2"/>
      <c r="AB125" s="2"/>
      <c r="AC125" s="9"/>
      <c r="AD125" s="9"/>
      <c r="AE125" s="2"/>
      <c r="AF125" s="2"/>
      <c r="AG125" s="2"/>
      <c r="AH125" s="2"/>
      <c r="AI125" s="2"/>
      <c r="AJ125" s="341"/>
      <c r="AK125" s="280" t="s">
        <v>932</v>
      </c>
      <c r="AL125" s="310" t="e">
        <f>IF(#REF!&gt;0,#REF!,"")</f>
        <v>#REF!</v>
      </c>
      <c r="AM125" s="310" t="e">
        <f>IF(#REF!&gt;0,#REF!,"")</f>
        <v>#REF!</v>
      </c>
      <c r="AN125" s="310" t="e">
        <f>IF(#REF!&gt;0,#REF!,"")</f>
        <v>#REF!</v>
      </c>
      <c r="AO125" s="417"/>
      <c r="AP125" s="417" t="s">
        <v>1274</v>
      </c>
      <c r="AQ125" s="417" t="s">
        <v>1275</v>
      </c>
      <c r="AR125" s="10"/>
    </row>
    <row r="126" spans="1:44" x14ac:dyDescent="0.2">
      <c r="A126" s="367" t="s">
        <v>955</v>
      </c>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68"/>
      <c r="Y126" s="368"/>
      <c r="Z126" s="368"/>
      <c r="AA126" s="368"/>
      <c r="AB126" s="368"/>
      <c r="AC126" s="331"/>
      <c r="AD126" s="331"/>
      <c r="AE126" s="368"/>
      <c r="AF126" s="368"/>
      <c r="AG126" s="368"/>
      <c r="AH126" s="368"/>
      <c r="AI126" s="369"/>
      <c r="AK126" s="280" t="s">
        <v>933</v>
      </c>
      <c r="AL126" s="310" t="e">
        <f>IF(#REF!&gt;0,#REF!,"")</f>
        <v>#REF!</v>
      </c>
      <c r="AM126" s="310" t="e">
        <f>IF(#REF!&gt;0,#REF!,"")</f>
        <v>#REF!</v>
      </c>
      <c r="AN126" s="310" t="e">
        <f>IF(#REF!&gt;0,#REF!,"")</f>
        <v>#REF!</v>
      </c>
      <c r="AO126" s="417"/>
      <c r="AP126" s="417" t="s">
        <v>367</v>
      </c>
      <c r="AQ126" s="417" t="s">
        <v>1276</v>
      </c>
      <c r="AR126" s="10"/>
    </row>
    <row r="127" spans="1:44" x14ac:dyDescent="0.2">
      <c r="A127" s="340"/>
      <c r="B127" s="9"/>
      <c r="C127" s="9"/>
      <c r="D127" s="9"/>
      <c r="E127" s="9"/>
      <c r="F127" s="9"/>
      <c r="G127" s="9"/>
      <c r="H127" s="9"/>
      <c r="I127" s="9"/>
      <c r="J127" s="9"/>
      <c r="M127" s="9"/>
      <c r="N127" s="9"/>
      <c r="O127" s="9"/>
      <c r="P127" s="9"/>
      <c r="Q127" s="9"/>
      <c r="R127" s="9"/>
      <c r="S127" s="9"/>
      <c r="T127" s="9"/>
      <c r="U127" s="9"/>
      <c r="V127" s="9"/>
      <c r="W127" s="9"/>
      <c r="X127" s="2"/>
      <c r="Y127" s="2"/>
      <c r="Z127" s="2"/>
      <c r="AA127" s="2"/>
      <c r="AB127" s="2"/>
      <c r="AC127" s="9"/>
      <c r="AD127" s="9"/>
      <c r="AE127" s="2"/>
      <c r="AF127" s="2"/>
      <c r="AG127" s="2"/>
      <c r="AH127" s="2"/>
      <c r="AI127" s="342"/>
      <c r="AK127" s="280" t="s">
        <v>1173</v>
      </c>
      <c r="AL127" s="310" t="e">
        <f>IF(#REF!&gt;0,#REF!,"")</f>
        <v>#REF!</v>
      </c>
      <c r="AM127" s="310" t="e">
        <f>IF(#REF!&gt;0,#REF!,"")</f>
        <v>#REF!</v>
      </c>
      <c r="AN127" s="310" t="e">
        <f>IF(#REF!&gt;0,#REF!,"")</f>
        <v>#REF!</v>
      </c>
      <c r="AO127" s="417"/>
      <c r="AP127" s="417" t="s">
        <v>369</v>
      </c>
      <c r="AQ127" s="417" t="s">
        <v>1277</v>
      </c>
      <c r="AR127" s="10"/>
    </row>
    <row r="128" spans="1:44" x14ac:dyDescent="0.2">
      <c r="A128" s="340"/>
      <c r="B128" s="9"/>
      <c r="C128" s="9"/>
      <c r="D128" s="9"/>
      <c r="E128" s="9"/>
      <c r="F128" s="9"/>
      <c r="G128" s="9"/>
      <c r="H128" s="9"/>
      <c r="I128" s="9"/>
      <c r="J128" s="9"/>
      <c r="M128" s="9"/>
      <c r="N128" s="9"/>
      <c r="O128" s="9"/>
      <c r="P128" s="9"/>
      <c r="Q128" s="9"/>
      <c r="R128" s="9"/>
      <c r="S128" s="9"/>
      <c r="T128" s="9"/>
      <c r="U128" s="9"/>
      <c r="V128" s="9"/>
      <c r="W128" s="9"/>
      <c r="X128" s="2"/>
      <c r="Y128" s="2"/>
      <c r="Z128" s="2"/>
      <c r="AA128" s="2"/>
      <c r="AB128" s="2"/>
      <c r="AC128" s="9"/>
      <c r="AD128" s="9"/>
      <c r="AE128" s="2"/>
      <c r="AF128" s="2"/>
      <c r="AG128" s="2"/>
      <c r="AH128" s="2"/>
      <c r="AI128" s="342"/>
      <c r="AJ128" s="458">
        <v>1</v>
      </c>
      <c r="AK128" s="280" t="str">
        <f>CONCATENATE("Ob",AJ128,":")</f>
        <v>Ob1:</v>
      </c>
      <c r="AL128" s="310" t="str">
        <f>IF('Ob1'!I$6&gt;0,'Ob1'!I$6,"")</f>
        <v/>
      </c>
      <c r="AM128" s="310" t="str">
        <f>IF('Ob1'!F$6&gt;0,'Ob1'!F$6,"")</f>
        <v/>
      </c>
      <c r="AN128" s="310" t="str">
        <f>IF('Ob1'!M$6&gt;0,'Ob1'!M$6,"")</f>
        <v/>
      </c>
      <c r="AO128" s="417"/>
      <c r="AP128" s="417" t="s">
        <v>1278</v>
      </c>
      <c r="AQ128" s="417" t="s">
        <v>1210</v>
      </c>
      <c r="AR128" s="10"/>
    </row>
    <row r="129" spans="1:44" x14ac:dyDescent="0.2">
      <c r="A129" s="340"/>
      <c r="B129" s="9"/>
      <c r="C129" s="9"/>
      <c r="D129" s="9"/>
      <c r="E129" s="9"/>
      <c r="F129" s="9"/>
      <c r="G129" s="9"/>
      <c r="H129" s="9"/>
      <c r="I129" s="9"/>
      <c r="J129" s="9"/>
      <c r="M129" s="9"/>
      <c r="N129" s="9"/>
      <c r="O129" s="9"/>
      <c r="P129" s="9"/>
      <c r="Q129" s="9"/>
      <c r="R129" s="9"/>
      <c r="S129" s="9"/>
      <c r="T129" s="9"/>
      <c r="U129" s="9"/>
      <c r="V129" s="9"/>
      <c r="W129" s="9"/>
      <c r="X129" s="9"/>
      <c r="Y129" s="9"/>
      <c r="Z129" s="9"/>
      <c r="AA129" s="9"/>
      <c r="AB129" s="9"/>
      <c r="AC129" s="9"/>
      <c r="AD129" s="9"/>
      <c r="AE129" s="9"/>
      <c r="AF129" s="9"/>
      <c r="AG129" s="9"/>
      <c r="AH129" s="9"/>
      <c r="AI129" s="341"/>
      <c r="AJ129" s="458">
        <v>2</v>
      </c>
      <c r="AK129" s="280" t="str">
        <f t="shared" ref="AK129:AK134" si="7">CONCATENATE("Ob",AJ129,":")</f>
        <v>Ob2:</v>
      </c>
      <c r="AL129" s="310" t="str">
        <f>IF('Ob2'!I$6&gt;0,'Ob2'!I$6,"")</f>
        <v/>
      </c>
      <c r="AM129" s="310" t="str">
        <f>IF('Ob2'!F$6&gt;0,'Ob2'!F$6,"")</f>
        <v/>
      </c>
      <c r="AN129" s="310" t="str">
        <f>IF('Ob2'!M$6&gt;0,'Ob2'!M$6,"")</f>
        <v/>
      </c>
      <c r="AO129" s="417"/>
      <c r="AP129" s="417" t="s">
        <v>1279</v>
      </c>
      <c r="AQ129" s="417" t="s">
        <v>1280</v>
      </c>
      <c r="AR129" s="10"/>
    </row>
    <row r="130" spans="1:44" x14ac:dyDescent="0.2">
      <c r="A130" s="340"/>
      <c r="B130" s="9"/>
      <c r="C130" s="9"/>
      <c r="D130" s="9"/>
      <c r="E130" s="9"/>
      <c r="F130" s="9"/>
      <c r="G130" s="9"/>
      <c r="H130" s="158"/>
      <c r="I130" s="9"/>
      <c r="J130" s="9"/>
      <c r="M130" s="9"/>
      <c r="N130" s="9"/>
      <c r="O130" s="9"/>
      <c r="P130" s="343"/>
      <c r="Q130" s="9"/>
      <c r="R130" s="9"/>
      <c r="S130" s="9"/>
      <c r="T130" s="9"/>
      <c r="U130" s="9"/>
      <c r="V130" s="9"/>
      <c r="W130" s="9"/>
      <c r="X130" s="9"/>
      <c r="Y130" s="9"/>
      <c r="Z130" s="9"/>
      <c r="AA130" s="9"/>
      <c r="AB130" s="9"/>
      <c r="AC130" s="9"/>
      <c r="AD130" s="9"/>
      <c r="AE130" s="9"/>
      <c r="AF130" s="9"/>
      <c r="AG130" s="9"/>
      <c r="AH130" s="9"/>
      <c r="AI130" s="341"/>
      <c r="AJ130" s="458">
        <v>3</v>
      </c>
      <c r="AK130" s="280" t="str">
        <f t="shared" si="7"/>
        <v>Ob3:</v>
      </c>
      <c r="AL130" s="310" t="str">
        <f>IF('Ob3'!I$6&gt;0,'Ob3'!I$6,"")</f>
        <v/>
      </c>
      <c r="AM130" s="310" t="str">
        <f>IF('Ob3'!F$6&gt;0,'Ob3'!F$6,"")</f>
        <v/>
      </c>
      <c r="AN130" s="310" t="str">
        <f>IF('Ob3'!M$6&gt;0,'Ob3'!M$6,"")</f>
        <v/>
      </c>
      <c r="AO130" s="417"/>
      <c r="AP130" s="417" t="s">
        <v>372</v>
      </c>
      <c r="AQ130" s="417" t="s">
        <v>1281</v>
      </c>
      <c r="AR130" s="10"/>
    </row>
    <row r="131" spans="1:44" x14ac:dyDescent="0.2">
      <c r="A131" s="340"/>
      <c r="B131" s="9"/>
      <c r="C131" s="9"/>
      <c r="D131" s="9"/>
      <c r="E131" s="9"/>
      <c r="F131" s="9"/>
      <c r="G131" s="9"/>
      <c r="H131" s="158"/>
      <c r="I131" s="9"/>
      <c r="J131" s="9"/>
      <c r="M131" s="9"/>
      <c r="N131" s="9"/>
      <c r="O131" s="9"/>
      <c r="P131" s="343"/>
      <c r="Q131" s="9"/>
      <c r="R131" s="9"/>
      <c r="S131" s="9"/>
      <c r="T131" s="9"/>
      <c r="U131" s="9"/>
      <c r="V131" s="9"/>
      <c r="W131" s="9"/>
      <c r="X131" s="9"/>
      <c r="Y131" s="9"/>
      <c r="Z131" s="9"/>
      <c r="AA131" s="9"/>
      <c r="AB131" s="9"/>
      <c r="AC131" s="9"/>
      <c r="AD131" s="9"/>
      <c r="AE131" s="9"/>
      <c r="AF131" s="9"/>
      <c r="AG131" s="9"/>
      <c r="AH131" s="9"/>
      <c r="AI131" s="341"/>
      <c r="AJ131" s="458">
        <v>4</v>
      </c>
      <c r="AK131" s="280" t="str">
        <f t="shared" si="7"/>
        <v>Ob4:</v>
      </c>
      <c r="AL131" s="310" t="e">
        <f>IF(#REF!&gt;0,#REF!,"")</f>
        <v>#REF!</v>
      </c>
      <c r="AM131" s="310" t="e">
        <f>IF(#REF!&gt;0,#REF!,"")</f>
        <v>#REF!</v>
      </c>
      <c r="AN131" s="310" t="e">
        <f>IF(#REF!&gt;0,#REF!,"")</f>
        <v>#REF!</v>
      </c>
      <c r="AO131" s="417"/>
      <c r="AP131" s="417" t="s">
        <v>1282</v>
      </c>
      <c r="AQ131" s="417" t="s">
        <v>1283</v>
      </c>
      <c r="AR131" s="10"/>
    </row>
    <row r="132" spans="1:44" x14ac:dyDescent="0.2">
      <c r="A132" s="340"/>
      <c r="B132" s="9"/>
      <c r="C132" s="9"/>
      <c r="D132" s="9"/>
      <c r="E132" s="9"/>
      <c r="F132" s="9"/>
      <c r="G132" s="9"/>
      <c r="H132" s="158"/>
      <c r="I132" s="9"/>
      <c r="J132" s="9"/>
      <c r="M132" s="9"/>
      <c r="N132" s="9"/>
      <c r="O132" s="9"/>
      <c r="P132" s="343"/>
      <c r="Q132" s="9"/>
      <c r="R132" s="9"/>
      <c r="S132" s="9"/>
      <c r="T132" s="9"/>
      <c r="U132" s="9"/>
      <c r="V132" s="9"/>
      <c r="W132" s="9"/>
      <c r="X132" s="9"/>
      <c r="Y132" s="9"/>
      <c r="Z132" s="9"/>
      <c r="AA132" s="9"/>
      <c r="AB132" s="9"/>
      <c r="AC132" s="9"/>
      <c r="AD132" s="9"/>
      <c r="AE132" s="9"/>
      <c r="AF132" s="9"/>
      <c r="AG132" s="9"/>
      <c r="AH132" s="9"/>
      <c r="AI132" s="341"/>
      <c r="AJ132" s="458">
        <v>5</v>
      </c>
      <c r="AK132" s="280" t="str">
        <f t="shared" si="7"/>
        <v>Ob5:</v>
      </c>
      <c r="AL132" s="310" t="e">
        <f>IF(#REF!&gt;0,#REF!,"")</f>
        <v>#REF!</v>
      </c>
      <c r="AM132" s="310" t="e">
        <f>IF(#REF!&gt;0,#REF!,"")</f>
        <v>#REF!</v>
      </c>
      <c r="AN132" s="310" t="e">
        <f>IF(#REF!&gt;0,#REF!,"")</f>
        <v>#REF!</v>
      </c>
      <c r="AO132" s="417"/>
      <c r="AP132" s="417" t="s">
        <v>1284</v>
      </c>
      <c r="AQ132" s="417" t="s">
        <v>1285</v>
      </c>
      <c r="AR132" s="10"/>
    </row>
    <row r="133" spans="1:44" x14ac:dyDescent="0.2">
      <c r="A133" s="340"/>
      <c r="B133" s="9"/>
      <c r="C133" s="9"/>
      <c r="D133" s="9"/>
      <c r="E133" s="9"/>
      <c r="F133" s="9"/>
      <c r="G133" s="9"/>
      <c r="H133" s="9"/>
      <c r="I133" s="9"/>
      <c r="J133" s="9"/>
      <c r="M133" s="9"/>
      <c r="N133" s="9"/>
      <c r="O133" s="9"/>
      <c r="P133" s="9"/>
      <c r="Q133" s="9"/>
      <c r="R133" s="9"/>
      <c r="S133" s="9"/>
      <c r="T133" s="9"/>
      <c r="U133" s="9"/>
      <c r="V133" s="9"/>
      <c r="W133" s="9"/>
      <c r="X133" s="9"/>
      <c r="Y133" s="9"/>
      <c r="Z133" s="9"/>
      <c r="AA133" s="9"/>
      <c r="AB133" s="9"/>
      <c r="AC133" s="9"/>
      <c r="AD133" s="9"/>
      <c r="AE133" s="9"/>
      <c r="AF133" s="9"/>
      <c r="AG133" s="9"/>
      <c r="AH133" s="9"/>
      <c r="AI133" s="341"/>
      <c r="AJ133" s="458">
        <v>6</v>
      </c>
      <c r="AK133" s="280" t="str">
        <f t="shared" si="7"/>
        <v>Ob6:</v>
      </c>
      <c r="AL133" s="310" t="e">
        <f>IF(#REF!&gt;0,#REF!,"")</f>
        <v>#REF!</v>
      </c>
      <c r="AM133" s="310" t="e">
        <f>IF(#REF!&gt;0,#REF!,"")</f>
        <v>#REF!</v>
      </c>
      <c r="AN133" s="310" t="e">
        <f>IF(#REF!&gt;0,#REF!,"")</f>
        <v>#REF!</v>
      </c>
      <c r="AO133" s="417"/>
      <c r="AP133" s="417" t="s">
        <v>1286</v>
      </c>
      <c r="AQ133" s="417" t="s">
        <v>1287</v>
      </c>
      <c r="AR133" s="10"/>
    </row>
    <row r="134" spans="1:44" x14ac:dyDescent="0.2">
      <c r="A134" s="319"/>
      <c r="B134" s="318"/>
      <c r="C134" s="318"/>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20"/>
      <c r="AJ134" s="458">
        <v>7</v>
      </c>
      <c r="AK134" s="280" t="str">
        <f t="shared" si="7"/>
        <v>Ob7:</v>
      </c>
      <c r="AL134" s="310" t="e">
        <f>IF(#REF!&gt;0,#REF!,"")</f>
        <v>#REF!</v>
      </c>
      <c r="AM134" s="310" t="e">
        <f>IF(#REF!&gt;0,#REF!,"")</f>
        <v>#REF!</v>
      </c>
      <c r="AN134" s="310" t="e">
        <f>IF(#REF!&gt;0,#REF!,"")</f>
        <v>#REF!</v>
      </c>
      <c r="AO134" s="417"/>
      <c r="AP134" s="417" t="s">
        <v>1288</v>
      </c>
      <c r="AQ134" s="417" t="s">
        <v>1289</v>
      </c>
      <c r="AR134" s="10"/>
    </row>
    <row r="135" spans="1:44" x14ac:dyDescent="0.2">
      <c r="A135" s="321"/>
      <c r="B135" s="32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3"/>
      <c r="AK135" s="280"/>
      <c r="AO135" s="417"/>
      <c r="AP135" s="417" t="s">
        <v>1290</v>
      </c>
      <c r="AQ135" s="417" t="s">
        <v>1291</v>
      </c>
      <c r="AR135" s="10"/>
    </row>
    <row r="136" spans="1:44" x14ac:dyDescent="0.2">
      <c r="AO136" s="417"/>
      <c r="AP136" s="417" t="s">
        <v>1292</v>
      </c>
      <c r="AQ136" s="417" t="s">
        <v>1293</v>
      </c>
      <c r="AR136" s="10"/>
    </row>
    <row r="137" spans="1:44" x14ac:dyDescent="0.2">
      <c r="AO137" s="417"/>
      <c r="AP137" s="417" t="s">
        <v>1294</v>
      </c>
      <c r="AQ137" s="417" t="s">
        <v>1295</v>
      </c>
      <c r="AR137" s="10"/>
    </row>
    <row r="138" spans="1:44" x14ac:dyDescent="0.2">
      <c r="AO138" s="417"/>
      <c r="AP138" s="417" t="s">
        <v>1296</v>
      </c>
      <c r="AQ138" s="417" t="s">
        <v>1297</v>
      </c>
      <c r="AR138" s="10"/>
    </row>
    <row r="139" spans="1:44" x14ac:dyDescent="0.2">
      <c r="AO139" s="417"/>
      <c r="AP139" s="417" t="s">
        <v>1298</v>
      </c>
      <c r="AQ139" s="417" t="s">
        <v>355</v>
      </c>
      <c r="AR139" s="10"/>
    </row>
    <row r="140" spans="1:44" x14ac:dyDescent="0.2">
      <c r="AP140" s="136" t="s">
        <v>1299</v>
      </c>
      <c r="AQ140" s="136" t="s">
        <v>1300</v>
      </c>
    </row>
    <row r="141" spans="1:44" x14ac:dyDescent="0.2">
      <c r="AP141" s="136" t="s">
        <v>1301</v>
      </c>
      <c r="AQ141" s="136"/>
    </row>
    <row r="142" spans="1:44" x14ac:dyDescent="0.2">
      <c r="AP142" s="136" t="s">
        <v>1302</v>
      </c>
      <c r="AQ142" s="136" t="s">
        <v>1303</v>
      </c>
    </row>
    <row r="143" spans="1:44" x14ac:dyDescent="0.2">
      <c r="AP143" s="136" t="s">
        <v>1304</v>
      </c>
      <c r="AQ143" s="136" t="s">
        <v>1305</v>
      </c>
    </row>
    <row r="144" spans="1:44" x14ac:dyDescent="0.2">
      <c r="AP144" s="136" t="s">
        <v>1306</v>
      </c>
      <c r="AQ144" s="136" t="s">
        <v>1307</v>
      </c>
    </row>
    <row r="145" spans="42:43" x14ac:dyDescent="0.2">
      <c r="AP145" s="136" t="s">
        <v>1308</v>
      </c>
      <c r="AQ145" s="136" t="s">
        <v>1309</v>
      </c>
    </row>
    <row r="146" spans="42:43" x14ac:dyDescent="0.2">
      <c r="AP146" s="136" t="s">
        <v>1310</v>
      </c>
      <c r="AQ146" s="136" t="s">
        <v>1311</v>
      </c>
    </row>
    <row r="147" spans="42:43" x14ac:dyDescent="0.2">
      <c r="AP147" s="136" t="s">
        <v>1312</v>
      </c>
      <c r="AQ147" s="136" t="s">
        <v>1313</v>
      </c>
    </row>
    <row r="148" spans="42:43" x14ac:dyDescent="0.2">
      <c r="AP148" s="136" t="s">
        <v>1314</v>
      </c>
      <c r="AQ148" s="136" t="s">
        <v>1315</v>
      </c>
    </row>
    <row r="149" spans="42:43" x14ac:dyDescent="0.2">
      <c r="AP149" s="136" t="s">
        <v>1316</v>
      </c>
      <c r="AQ149" s="136" t="s">
        <v>1317</v>
      </c>
    </row>
    <row r="150" spans="42:43" x14ac:dyDescent="0.2">
      <c r="AP150" s="136" t="s">
        <v>1318</v>
      </c>
      <c r="AQ150" s="136" t="s">
        <v>1319</v>
      </c>
    </row>
    <row r="151" spans="42:43" x14ac:dyDescent="0.2">
      <c r="AP151" s="136" t="s">
        <v>1320</v>
      </c>
      <c r="AQ151" s="136" t="s">
        <v>1321</v>
      </c>
    </row>
    <row r="152" spans="42:43" x14ac:dyDescent="0.2">
      <c r="AP152" s="136" t="s">
        <v>1322</v>
      </c>
      <c r="AQ152" s="136" t="s">
        <v>1323</v>
      </c>
    </row>
    <row r="153" spans="42:43" x14ac:dyDescent="0.2">
      <c r="AP153" s="136" t="s">
        <v>324</v>
      </c>
      <c r="AQ153" s="136" t="s">
        <v>326</v>
      </c>
    </row>
    <row r="154" spans="42:43" x14ac:dyDescent="0.2">
      <c r="AP154" s="136" t="s">
        <v>1324</v>
      </c>
      <c r="AQ154" s="136" t="s">
        <v>1325</v>
      </c>
    </row>
    <row r="155" spans="42:43" x14ac:dyDescent="0.2">
      <c r="AP155" s="136" t="s">
        <v>1326</v>
      </c>
      <c r="AQ155" s="136" t="s">
        <v>1327</v>
      </c>
    </row>
    <row r="156" spans="42:43" x14ac:dyDescent="0.2">
      <c r="AP156" s="136" t="s">
        <v>1328</v>
      </c>
      <c r="AQ156" s="136" t="s">
        <v>1329</v>
      </c>
    </row>
    <row r="157" spans="42:43" x14ac:dyDescent="0.2">
      <c r="AP157" s="136" t="s">
        <v>1330</v>
      </c>
      <c r="AQ157" s="136" t="s">
        <v>1331</v>
      </c>
    </row>
    <row r="158" spans="42:43" x14ac:dyDescent="0.2">
      <c r="AP158" s="136" t="s">
        <v>1332</v>
      </c>
      <c r="AQ158" s="136" t="s">
        <v>1333</v>
      </c>
    </row>
    <row r="159" spans="42:43" x14ac:dyDescent="0.2">
      <c r="AP159" s="136" t="s">
        <v>1334</v>
      </c>
      <c r="AQ159" s="136" t="s">
        <v>1335</v>
      </c>
    </row>
    <row r="160" spans="42:43" x14ac:dyDescent="0.2">
      <c r="AP160" s="136" t="s">
        <v>1336</v>
      </c>
      <c r="AQ160" s="136" t="s">
        <v>1337</v>
      </c>
    </row>
    <row r="161" spans="42:43" x14ac:dyDescent="0.2">
      <c r="AP161" s="136" t="s">
        <v>1338</v>
      </c>
      <c r="AQ161" s="136" t="s">
        <v>1339</v>
      </c>
    </row>
    <row r="162" spans="42:43" x14ac:dyDescent="0.2">
      <c r="AP162" s="136" t="s">
        <v>341</v>
      </c>
      <c r="AQ162" s="136" t="s">
        <v>1340</v>
      </c>
    </row>
    <row r="163" spans="42:43" x14ac:dyDescent="0.2">
      <c r="AP163" s="136" t="s">
        <v>343</v>
      </c>
      <c r="AQ163" s="136" t="s">
        <v>1341</v>
      </c>
    </row>
    <row r="164" spans="42:43" x14ac:dyDescent="0.2">
      <c r="AP164" s="136" t="s">
        <v>1342</v>
      </c>
      <c r="AQ164" s="136" t="s">
        <v>1343</v>
      </c>
    </row>
    <row r="165" spans="42:43" x14ac:dyDescent="0.2">
      <c r="AP165" s="136" t="s">
        <v>1344</v>
      </c>
      <c r="AQ165" s="136" t="s">
        <v>1345</v>
      </c>
    </row>
    <row r="166" spans="42:43" x14ac:dyDescent="0.2">
      <c r="AP166" s="136" t="s">
        <v>1346</v>
      </c>
      <c r="AQ166" s="136" t="s">
        <v>1347</v>
      </c>
    </row>
    <row r="167" spans="42:43" x14ac:dyDescent="0.2">
      <c r="AP167" s="136" t="s">
        <v>1348</v>
      </c>
      <c r="AQ167" s="136" t="s">
        <v>1349</v>
      </c>
    </row>
    <row r="168" spans="42:43" x14ac:dyDescent="0.2">
      <c r="AP168" s="136" t="s">
        <v>1350</v>
      </c>
      <c r="AQ168" s="136" t="s">
        <v>1351</v>
      </c>
    </row>
    <row r="169" spans="42:43" x14ac:dyDescent="0.2">
      <c r="AP169" s="136" t="s">
        <v>1352</v>
      </c>
      <c r="AQ169" s="136" t="s">
        <v>1353</v>
      </c>
    </row>
    <row r="170" spans="42:43" x14ac:dyDescent="0.2">
      <c r="AP170" s="136" t="s">
        <v>1354</v>
      </c>
      <c r="AQ170" s="136" t="s">
        <v>1355</v>
      </c>
    </row>
    <row r="171" spans="42:43" x14ac:dyDescent="0.2">
      <c r="AP171" s="136" t="s">
        <v>1356</v>
      </c>
      <c r="AQ171" s="136" t="s">
        <v>1357</v>
      </c>
    </row>
    <row r="172" spans="42:43" x14ac:dyDescent="0.2">
      <c r="AP172" s="136" t="s">
        <v>1358</v>
      </c>
      <c r="AQ172" s="136" t="s">
        <v>1359</v>
      </c>
    </row>
    <row r="173" spans="42:43" x14ac:dyDescent="0.2">
      <c r="AP173" s="136" t="s">
        <v>347</v>
      </c>
      <c r="AQ173" s="136" t="s">
        <v>1360</v>
      </c>
    </row>
    <row r="174" spans="42:43" x14ac:dyDescent="0.2">
      <c r="AP174" s="136" t="s">
        <v>1361</v>
      </c>
      <c r="AQ174" s="136" t="s">
        <v>1362</v>
      </c>
    </row>
    <row r="175" spans="42:43" x14ac:dyDescent="0.2">
      <c r="AP175" s="136" t="s">
        <v>1363</v>
      </c>
      <c r="AQ175" s="136"/>
    </row>
    <row r="176" spans="42:43" x14ac:dyDescent="0.2">
      <c r="AP176" s="136" t="s">
        <v>352</v>
      </c>
      <c r="AQ176" s="136"/>
    </row>
    <row r="177" spans="42:43" x14ac:dyDescent="0.2">
      <c r="AP177" s="136" t="s">
        <v>1364</v>
      </c>
      <c r="AQ177" s="136"/>
    </row>
    <row r="178" spans="42:43" x14ac:dyDescent="0.2">
      <c r="AP178" s="136" t="s">
        <v>354</v>
      </c>
      <c r="AQ178" s="136"/>
    </row>
    <row r="179" spans="42:43" x14ac:dyDescent="0.2">
      <c r="AP179" s="136" t="s">
        <v>1365</v>
      </c>
      <c r="AQ179" s="136"/>
    </row>
    <row r="180" spans="42:43" x14ac:dyDescent="0.2">
      <c r="AP180" s="136" t="s">
        <v>1366</v>
      </c>
      <c r="AQ180" s="136"/>
    </row>
    <row r="181" spans="42:43" x14ac:dyDescent="0.2">
      <c r="AP181" s="136" t="s">
        <v>1367</v>
      </c>
      <c r="AQ181" s="136"/>
    </row>
    <row r="182" spans="42:43" x14ac:dyDescent="0.2">
      <c r="AP182" s="136" t="s">
        <v>1368</v>
      </c>
      <c r="AQ182" s="136"/>
    </row>
    <row r="183" spans="42:43" x14ac:dyDescent="0.2">
      <c r="AP183" s="136" t="s">
        <v>1369</v>
      </c>
      <c r="AQ183" s="136"/>
    </row>
    <row r="184" spans="42:43" x14ac:dyDescent="0.2">
      <c r="AP184" s="136" t="s">
        <v>1370</v>
      </c>
      <c r="AQ184" s="136"/>
    </row>
    <row r="185" spans="42:43" x14ac:dyDescent="0.2">
      <c r="AP185" s="136" t="s">
        <v>357</v>
      </c>
      <c r="AQ185" s="136"/>
    </row>
    <row r="186" spans="42:43" x14ac:dyDescent="0.2">
      <c r="AP186" s="136" t="s">
        <v>359</v>
      </c>
      <c r="AQ186" s="136"/>
    </row>
    <row r="187" spans="42:43" x14ac:dyDescent="0.2">
      <c r="AP187" s="136" t="s">
        <v>361</v>
      </c>
      <c r="AQ187" s="136"/>
    </row>
    <row r="188" spans="42:43" x14ac:dyDescent="0.2">
      <c r="AP188" s="136" t="s">
        <v>364</v>
      </c>
      <c r="AQ188" s="136"/>
    </row>
    <row r="189" spans="42:43" x14ac:dyDescent="0.2">
      <c r="AP189" s="136" t="s">
        <v>1371</v>
      </c>
      <c r="AQ189" s="136"/>
    </row>
    <row r="190" spans="42:43" x14ac:dyDescent="0.2">
      <c r="AP190" s="136" t="s">
        <v>370</v>
      </c>
      <c r="AQ190" s="136"/>
    </row>
    <row r="191" spans="42:43" x14ac:dyDescent="0.2">
      <c r="AP191" s="136" t="s">
        <v>373</v>
      </c>
      <c r="AQ191" s="136"/>
    </row>
    <row r="192" spans="42:43" x14ac:dyDescent="0.2">
      <c r="AP192" s="136" t="s">
        <v>1372</v>
      </c>
      <c r="AQ192" s="136"/>
    </row>
    <row r="193" spans="42:43" x14ac:dyDescent="0.2">
      <c r="AP193" s="136" t="s">
        <v>1373</v>
      </c>
      <c r="AQ193" s="136"/>
    </row>
    <row r="194" spans="42:43" x14ac:dyDescent="0.2">
      <c r="AP194" s="136" t="s">
        <v>1374</v>
      </c>
      <c r="AQ194" s="136"/>
    </row>
    <row r="195" spans="42:43" x14ac:dyDescent="0.2">
      <c r="AP195" s="136" t="s">
        <v>1375</v>
      </c>
      <c r="AQ195" s="136"/>
    </row>
    <row r="196" spans="42:43" x14ac:dyDescent="0.2">
      <c r="AP196" s="136" t="s">
        <v>1376</v>
      </c>
      <c r="AQ196" s="136"/>
    </row>
    <row r="197" spans="42:43" x14ac:dyDescent="0.2">
      <c r="AP197" s="136" t="s">
        <v>1377</v>
      </c>
      <c r="AQ197" s="136"/>
    </row>
    <row r="198" spans="42:43" x14ac:dyDescent="0.2">
      <c r="AP198" s="136" t="s">
        <v>1378</v>
      </c>
      <c r="AQ198" s="136"/>
    </row>
    <row r="199" spans="42:43" x14ac:dyDescent="0.2">
      <c r="AP199" s="136" t="s">
        <v>1379</v>
      </c>
      <c r="AQ199" s="136"/>
    </row>
    <row r="200" spans="42:43" x14ac:dyDescent="0.2">
      <c r="AP200" s="136" t="s">
        <v>1380</v>
      </c>
      <c r="AQ200" s="136"/>
    </row>
  </sheetData>
  <sheetProtection sheet="1" objects="1" scenarios="1" insertRows="0" deleteRows="0" selectLockedCells="1"/>
  <mergeCells count="205">
    <mergeCell ref="L72:N72"/>
    <mergeCell ref="J81:L81"/>
    <mergeCell ref="M81:N81"/>
    <mergeCell ref="O72:P72"/>
    <mergeCell ref="AG2:AJ2"/>
    <mergeCell ref="A84:R84"/>
    <mergeCell ref="X113:AJ113"/>
    <mergeCell ref="AG100:AJ100"/>
    <mergeCell ref="X101:AJ101"/>
    <mergeCell ref="X102:AJ102"/>
    <mergeCell ref="AB103:AF103"/>
    <mergeCell ref="AG103:AJ103"/>
    <mergeCell ref="X104:AJ104"/>
    <mergeCell ref="AB112:AF112"/>
    <mergeCell ref="AG112:AJ112"/>
    <mergeCell ref="X112:AA112"/>
    <mergeCell ref="H86:Q86"/>
    <mergeCell ref="H87:Q87"/>
    <mergeCell ref="H88:Q88"/>
    <mergeCell ref="H89:Q89"/>
    <mergeCell ref="H90:Q90"/>
    <mergeCell ref="H95:Q95"/>
    <mergeCell ref="X107:AJ107"/>
    <mergeCell ref="AD63:AF63"/>
    <mergeCell ref="AD62:AF62"/>
    <mergeCell ref="AG62:AI62"/>
    <mergeCell ref="AA63:AB63"/>
    <mergeCell ref="X94:AA94"/>
    <mergeCell ref="X103:AA103"/>
    <mergeCell ref="X97:AA97"/>
    <mergeCell ref="X100:AA100"/>
    <mergeCell ref="X105:AJ105"/>
    <mergeCell ref="X87:AJ87"/>
    <mergeCell ref="AC81:AE81"/>
    <mergeCell ref="AA62:AB62"/>
    <mergeCell ref="T62:Z62"/>
    <mergeCell ref="AD64:AF64"/>
    <mergeCell ref="AB68:AD68"/>
    <mergeCell ref="AF69:AG69"/>
    <mergeCell ref="AF68:AG68"/>
    <mergeCell ref="AG64:AI64"/>
    <mergeCell ref="AH68:AI68"/>
    <mergeCell ref="AF67:AG67"/>
    <mergeCell ref="AB67:AD67"/>
    <mergeCell ref="AH67:AI67"/>
    <mergeCell ref="AF66:AG66"/>
    <mergeCell ref="AH69:AI69"/>
    <mergeCell ref="AG94:AJ94"/>
    <mergeCell ref="O75:P75"/>
    <mergeCell ref="Q75:R75"/>
    <mergeCell ref="L76:N76"/>
    <mergeCell ref="L77:N77"/>
    <mergeCell ref="L78:N78"/>
    <mergeCell ref="L79:N79"/>
    <mergeCell ref="AI5:AJ5"/>
    <mergeCell ref="AE77:AF77"/>
    <mergeCell ref="AG77:AH77"/>
    <mergeCell ref="M62:O62"/>
    <mergeCell ref="T63:Z63"/>
    <mergeCell ref="AG63:AI63"/>
    <mergeCell ref="AA64:AB64"/>
    <mergeCell ref="AG72:AH72"/>
    <mergeCell ref="AE72:AF72"/>
    <mergeCell ref="AE73:AF73"/>
    <mergeCell ref="AE74:AF74"/>
    <mergeCell ref="AE75:AF75"/>
    <mergeCell ref="AB69:AD69"/>
    <mergeCell ref="AE76:AF76"/>
    <mergeCell ref="AG73:AH73"/>
    <mergeCell ref="AG74:AH74"/>
    <mergeCell ref="AG75:AH75"/>
    <mergeCell ref="AG76:AH76"/>
    <mergeCell ref="L80:N80"/>
    <mergeCell ref="M63:O63"/>
    <mergeCell ref="I63:K63"/>
    <mergeCell ref="O76:P76"/>
    <mergeCell ref="O77:P77"/>
    <mergeCell ref="O78:P78"/>
    <mergeCell ref="O79:P79"/>
    <mergeCell ref="O80:P80"/>
    <mergeCell ref="O73:P73"/>
    <mergeCell ref="O74:P74"/>
    <mergeCell ref="I64:K64"/>
    <mergeCell ref="P68:Q68"/>
    <mergeCell ref="Q80:R80"/>
    <mergeCell ref="P69:Q69"/>
    <mergeCell ref="Q72:R72"/>
    <mergeCell ref="Q73:R73"/>
    <mergeCell ref="Q74:R74"/>
    <mergeCell ref="Q76:R76"/>
    <mergeCell ref="Q77:R77"/>
    <mergeCell ref="Q78:R78"/>
    <mergeCell ref="Q79:R79"/>
    <mergeCell ref="L73:N73"/>
    <mergeCell ref="L74:N74"/>
    <mergeCell ref="L75:N75"/>
    <mergeCell ref="W1:AC1"/>
    <mergeCell ref="X55:AA55"/>
    <mergeCell ref="O1:T1"/>
    <mergeCell ref="L4:AB4"/>
    <mergeCell ref="AE55:AH55"/>
    <mergeCell ref="L5:AB5"/>
    <mergeCell ref="L6:N6"/>
    <mergeCell ref="R27:AH28"/>
    <mergeCell ref="AG1:AJ1"/>
    <mergeCell ref="A6:B6"/>
    <mergeCell ref="C6:D6"/>
    <mergeCell ref="J54:K54"/>
    <mergeCell ref="F54:H54"/>
    <mergeCell ref="A55:F55"/>
    <mergeCell ref="O54:V54"/>
    <mergeCell ref="A60:AI60"/>
    <mergeCell ref="D58:E58"/>
    <mergeCell ref="D59:E59"/>
    <mergeCell ref="G58:H58"/>
    <mergeCell ref="G59:H59"/>
    <mergeCell ref="J58:K58"/>
    <mergeCell ref="J59:K59"/>
    <mergeCell ref="G55:H55"/>
    <mergeCell ref="P59:Q59"/>
    <mergeCell ref="O6:V6"/>
    <mergeCell ref="AG58:AJ58"/>
    <mergeCell ref="AI59:AJ59"/>
    <mergeCell ref="F36:G36"/>
    <mergeCell ref="F35:G35"/>
    <mergeCell ref="I62:K62"/>
    <mergeCell ref="T64:Z64"/>
    <mergeCell ref="J68:L68"/>
    <mergeCell ref="J69:L69"/>
    <mergeCell ref="N69:O69"/>
    <mergeCell ref="N67:O67"/>
    <mergeCell ref="P67:Q67"/>
    <mergeCell ref="J67:L67"/>
    <mergeCell ref="M66:O66"/>
    <mergeCell ref="N68:O68"/>
    <mergeCell ref="M64:O64"/>
    <mergeCell ref="H112:Q112"/>
    <mergeCell ref="H98:Q98"/>
    <mergeCell ref="H99:Q99"/>
    <mergeCell ref="H100:Q100"/>
    <mergeCell ref="H101:Q101"/>
    <mergeCell ref="H102:Q102"/>
    <mergeCell ref="H103:Q103"/>
    <mergeCell ref="H113:Q113"/>
    <mergeCell ref="H106:Q106"/>
    <mergeCell ref="H107:Q107"/>
    <mergeCell ref="H108:Q108"/>
    <mergeCell ref="H109:Q109"/>
    <mergeCell ref="X108:AJ108"/>
    <mergeCell ref="AB109:AF109"/>
    <mergeCell ref="AG109:AJ109"/>
    <mergeCell ref="X110:AJ110"/>
    <mergeCell ref="X111:AJ111"/>
    <mergeCell ref="AF83:AJ84"/>
    <mergeCell ref="AB106:AF106"/>
    <mergeCell ref="AG106:AJ106"/>
    <mergeCell ref="H91:Q91"/>
    <mergeCell ref="H92:Q92"/>
    <mergeCell ref="H104:Q104"/>
    <mergeCell ref="H105:Q105"/>
    <mergeCell ref="H93:Q93"/>
    <mergeCell ref="H94:Q94"/>
    <mergeCell ref="H96:Q96"/>
    <mergeCell ref="H111:Q111"/>
    <mergeCell ref="A83:R83"/>
    <mergeCell ref="F108:G108"/>
    <mergeCell ref="H110:Q110"/>
    <mergeCell ref="X106:AA106"/>
    <mergeCell ref="X109:AA109"/>
    <mergeCell ref="X88:AA88"/>
    <mergeCell ref="X91:AA91"/>
    <mergeCell ref="AB94:AF94"/>
    <mergeCell ref="S119:AH119"/>
    <mergeCell ref="S120:AH120"/>
    <mergeCell ref="A121:G122"/>
    <mergeCell ref="H114:Q114"/>
    <mergeCell ref="H115:Q115"/>
    <mergeCell ref="X115:AA115"/>
    <mergeCell ref="H121:Q121"/>
    <mergeCell ref="H119:Q119"/>
    <mergeCell ref="H120:Q120"/>
    <mergeCell ref="X114:AJ114"/>
    <mergeCell ref="AB115:AF115"/>
    <mergeCell ref="AG115:AJ115"/>
    <mergeCell ref="X116:AJ116"/>
    <mergeCell ref="H118:Q118"/>
    <mergeCell ref="S118:AH118"/>
    <mergeCell ref="H116:Q116"/>
    <mergeCell ref="H117:Q117"/>
    <mergeCell ref="H97:Q97"/>
    <mergeCell ref="X95:AJ95"/>
    <mergeCell ref="X96:AJ96"/>
    <mergeCell ref="AB97:AF97"/>
    <mergeCell ref="AG97:AJ97"/>
    <mergeCell ref="X98:AJ98"/>
    <mergeCell ref="X99:AJ99"/>
    <mergeCell ref="AB100:AF100"/>
    <mergeCell ref="AB88:AF88"/>
    <mergeCell ref="AG88:AJ88"/>
    <mergeCell ref="X89:AJ89"/>
    <mergeCell ref="X90:AJ90"/>
    <mergeCell ref="AB91:AF91"/>
    <mergeCell ref="AG91:AJ91"/>
    <mergeCell ref="X92:AJ92"/>
    <mergeCell ref="X93:AJ93"/>
  </mergeCells>
  <phoneticPr fontId="0" type="noConversion"/>
  <conditionalFormatting sqref="B29:AH32">
    <cfRule type="cellIs" dxfId="154" priority="34" operator="between">
      <formula>0.1</formula>
      <formula>17</formula>
    </cfRule>
  </conditionalFormatting>
  <conditionalFormatting sqref="A29:AH32">
    <cfRule type="cellIs" dxfId="153" priority="33" operator="equal">
      <formula>"X"</formula>
    </cfRule>
  </conditionalFormatting>
  <conditionalFormatting sqref="B29:AH29 B32:AH32 B30:AJ31">
    <cfRule type="cellIs" dxfId="152" priority="32" operator="equal">
      <formula>$AI$27</formula>
    </cfRule>
  </conditionalFormatting>
  <conditionalFormatting sqref="R29">
    <cfRule type="expression" dxfId="151" priority="31">
      <formula>$A$26=16</formula>
    </cfRule>
  </conditionalFormatting>
  <conditionalFormatting sqref="Q29">
    <cfRule type="expression" dxfId="150" priority="30">
      <formula>$A$26=15</formula>
    </cfRule>
  </conditionalFormatting>
  <conditionalFormatting sqref="P29">
    <cfRule type="expression" dxfId="149" priority="29">
      <formula>$A$26=14</formula>
    </cfRule>
  </conditionalFormatting>
  <conditionalFormatting sqref="O29">
    <cfRule type="expression" dxfId="148" priority="28">
      <formula>$A$26=13</formula>
    </cfRule>
  </conditionalFormatting>
  <conditionalFormatting sqref="N29">
    <cfRule type="expression" dxfId="147" priority="27">
      <formula>$A$26=12</formula>
    </cfRule>
  </conditionalFormatting>
  <conditionalFormatting sqref="M29">
    <cfRule type="expression" dxfId="146" priority="26">
      <formula>$A$26=11</formula>
    </cfRule>
  </conditionalFormatting>
  <conditionalFormatting sqref="L29">
    <cfRule type="expression" dxfId="145" priority="25">
      <formula>$A$26=10</formula>
    </cfRule>
  </conditionalFormatting>
  <conditionalFormatting sqref="K29">
    <cfRule type="expression" dxfId="144" priority="24">
      <formula>$A$26=9</formula>
    </cfRule>
  </conditionalFormatting>
  <conditionalFormatting sqref="J29">
    <cfRule type="expression" dxfId="143" priority="23">
      <formula>$A$26=8</formula>
    </cfRule>
  </conditionalFormatting>
  <conditionalFormatting sqref="I29">
    <cfRule type="expression" dxfId="142" priority="22">
      <formula>$A$26=7</formula>
    </cfRule>
  </conditionalFormatting>
  <conditionalFormatting sqref="H29">
    <cfRule type="expression" dxfId="141" priority="21">
      <formula>$A$26=6</formula>
    </cfRule>
  </conditionalFormatting>
  <conditionalFormatting sqref="G29">
    <cfRule type="expression" dxfId="140" priority="20">
      <formula>$A$26=5</formula>
    </cfRule>
  </conditionalFormatting>
  <conditionalFormatting sqref="F29">
    <cfRule type="expression" dxfId="139" priority="19">
      <formula>$A$26=4</formula>
    </cfRule>
  </conditionalFormatting>
  <conditionalFormatting sqref="R32">
    <cfRule type="expression" dxfId="138" priority="18">
      <formula>$A$26=16</formula>
    </cfRule>
  </conditionalFormatting>
  <conditionalFormatting sqref="Q32">
    <cfRule type="expression" dxfId="137" priority="17">
      <formula>$A$26=15</formula>
    </cfRule>
  </conditionalFormatting>
  <conditionalFormatting sqref="P32">
    <cfRule type="expression" dxfId="136" priority="16">
      <formula>$A$26=14</formula>
    </cfRule>
  </conditionalFormatting>
  <conditionalFormatting sqref="O32">
    <cfRule type="expression" dxfId="135" priority="15">
      <formula>$A$26=13</formula>
    </cfRule>
  </conditionalFormatting>
  <conditionalFormatting sqref="N32">
    <cfRule type="expression" dxfId="134" priority="14">
      <formula>$A$26=12</formula>
    </cfRule>
  </conditionalFormatting>
  <conditionalFormatting sqref="M32">
    <cfRule type="expression" dxfId="133" priority="13">
      <formula>$A$26=11</formula>
    </cfRule>
  </conditionalFormatting>
  <conditionalFormatting sqref="L32">
    <cfRule type="expression" dxfId="132" priority="12">
      <formula>$A$26=10</formula>
    </cfRule>
  </conditionalFormatting>
  <conditionalFormatting sqref="K32">
    <cfRule type="expression" dxfId="131" priority="11">
      <formula>$A$26=9</formula>
    </cfRule>
  </conditionalFormatting>
  <conditionalFormatting sqref="J32">
    <cfRule type="expression" dxfId="130" priority="10">
      <formula>$A$26=8</formula>
    </cfRule>
  </conditionalFormatting>
  <conditionalFormatting sqref="I32">
    <cfRule type="expression" dxfId="129" priority="9">
      <formula>$A$26=7</formula>
    </cfRule>
  </conditionalFormatting>
  <conditionalFormatting sqref="H32">
    <cfRule type="expression" dxfId="128" priority="8">
      <formula>$A$26=6</formula>
    </cfRule>
  </conditionalFormatting>
  <conditionalFormatting sqref="G32">
    <cfRule type="expression" dxfId="127" priority="7">
      <formula>$A$26=5</formula>
    </cfRule>
  </conditionalFormatting>
  <conditionalFormatting sqref="F32">
    <cfRule type="expression" dxfId="126" priority="6">
      <formula>$A$26=4</formula>
    </cfRule>
  </conditionalFormatting>
  <conditionalFormatting sqref="AI30:AJ31">
    <cfRule type="cellIs" dxfId="125" priority="5" operator="between">
      <formula>0.1</formula>
      <formula>17</formula>
    </cfRule>
  </conditionalFormatting>
  <conditionalFormatting sqref="AI30:AJ31">
    <cfRule type="cellIs" dxfId="124" priority="4" operator="equal">
      <formula>"X"</formula>
    </cfRule>
  </conditionalFormatting>
  <conditionalFormatting sqref="S29:S32">
    <cfRule type="expression" dxfId="123" priority="3">
      <formula>$A$26=17</formula>
    </cfRule>
  </conditionalFormatting>
  <conditionalFormatting sqref="L72:R77">
    <cfRule type="containsErrors" dxfId="122" priority="2">
      <formula>ISERROR(L72)</formula>
    </cfRule>
  </conditionalFormatting>
  <conditionalFormatting sqref="AE72:AI77">
    <cfRule type="containsErrors" dxfId="121" priority="1">
      <formula>ISERROR(AE72)</formula>
    </cfRule>
  </conditionalFormatting>
  <dataValidations count="8">
    <dataValidation type="list" allowBlank="1" showInputMessage="1" showErrorMessage="1" sqref="H115:Q116">
      <formula1>$AK$86:$AK$113</formula1>
    </dataValidation>
    <dataValidation type="list" allowBlank="1" showInputMessage="1" showErrorMessage="1" sqref="H105:Q105 H103:Q103">
      <formula1>$AL$87:$AL$102</formula1>
    </dataValidation>
    <dataValidation type="list" allowBlank="1" showInputMessage="1" showErrorMessage="1" sqref="F108">
      <formula1>$AM$104:$AM$106</formula1>
    </dataValidation>
    <dataValidation type="list" allowBlank="1" showInputMessage="1" showErrorMessage="1" sqref="F36">
      <formula1>$AM$112:$AM$113</formula1>
    </dataValidation>
    <dataValidation type="list" allowBlank="1" showInputMessage="1" showErrorMessage="1" sqref="F35:G35">
      <formula1>$AM$108:$AM$110</formula1>
    </dataValidation>
    <dataValidation type="list" allowBlank="1" showInputMessage="1" showErrorMessage="1" sqref="X88:AA88 X112:AA112 X109:AA109 X106:AA106 X103:AA103 X100:AA100 X97:AA97 X94:AA94 X91:AA91 X115:AA115">
      <formula1>$AO$88:$AO$117</formula1>
    </dataValidation>
    <dataValidation type="list" allowBlank="1" showInputMessage="1" showErrorMessage="1" sqref="AB88:AF88 AB112:AF112 AB109:AF109 AB106:AF106 AB103:AF103 AB100:AF100 AB97:AF97 AB94:AF94 AB91:AF91 AB115:AF115">
      <formula1>$AP$88:$AP$139</formula1>
    </dataValidation>
    <dataValidation type="list" allowBlank="1" showInputMessage="1" showErrorMessage="1" sqref="AG88:AJ88 AG112:AJ112 AG109:AJ109 AG106:AJ106 AG103:AJ103 AG100:AJ100 AG97:AJ97 AG94:AJ94 AG91:AJ91 AG115:AJ115">
      <formula1>$AQ$88:$AQ$118</formula1>
    </dataValidation>
  </dataValidations>
  <pageMargins left="0.47" right="0.34" top="0.31" bottom="0.3" header="0.51181102362204722" footer="0.3"/>
  <pageSetup paperSize="9" orientation="portrait" r:id="rId1"/>
  <headerFooter alignWithMargins="0"/>
  <rowBreaks count="1" manualBreakCount="1">
    <brk id="8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PM!$Q$14:$Q$16</xm:f>
          </x14:formula1>
          <xm:sqref>H91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AK139"/>
  <sheetViews>
    <sheetView workbookViewId="0">
      <selection activeCell="M24" sqref="M24"/>
    </sheetView>
  </sheetViews>
  <sheetFormatPr defaultRowHeight="12.75" x14ac:dyDescent="0.2"/>
  <cols>
    <col min="1" max="1" width="3.85546875" style="596" customWidth="1"/>
    <col min="2" max="2" width="4.7109375" style="596" customWidth="1"/>
    <col min="3" max="11" width="6.7109375" style="596" hidden="1" customWidth="1"/>
    <col min="12" max="21" width="6.7109375" style="596" customWidth="1"/>
    <col min="22" max="22" width="6.85546875" style="596" customWidth="1"/>
    <col min="23" max="26" width="7" style="596" customWidth="1"/>
    <col min="27" max="27" width="6.85546875" style="596" hidden="1" customWidth="1"/>
    <col min="28" max="33" width="7" style="596" hidden="1" customWidth="1"/>
    <col min="34" max="36" width="6.7109375" style="596" hidden="1" customWidth="1"/>
    <col min="37" max="37" width="8.28515625" style="596" customWidth="1"/>
    <col min="38" max="16384" width="9.140625" style="596"/>
  </cols>
  <sheetData>
    <row r="1" spans="1:37" s="548" customFormat="1" x14ac:dyDescent="0.2">
      <c r="C1" s="549" t="s">
        <v>32</v>
      </c>
      <c r="D1" s="548" t="str">
        <f>Fältkort!$H91</f>
        <v>HUG066</v>
      </c>
      <c r="F1" s="550" t="s">
        <v>951</v>
      </c>
      <c r="G1" s="548" t="str">
        <f>Fältkort!H98</f>
        <v>Klagstorp</v>
      </c>
      <c r="L1" s="549" t="str">
        <f>C1</f>
        <v>ADB-nr:</v>
      </c>
      <c r="M1" s="548" t="str">
        <f>D1</f>
        <v>HUG066</v>
      </c>
      <c r="O1" s="548" t="str">
        <f>F1</f>
        <v>Plats:</v>
      </c>
      <c r="P1" s="548" t="str">
        <f>G1</f>
        <v>Klagstorp</v>
      </c>
    </row>
    <row r="2" spans="1:37" s="548" customFormat="1" x14ac:dyDescent="0.2">
      <c r="C2" s="550" t="s">
        <v>950</v>
      </c>
      <c r="D2" s="548" t="str">
        <f>Fältkort!H86</f>
        <v>HU-1433</v>
      </c>
      <c r="F2" s="548" t="str">
        <f>Fältkort!H87</f>
        <v>Bekämpning av bladfläcksjuka i korn</v>
      </c>
      <c r="L2" s="549" t="str">
        <f>C2</f>
        <v>Serie</v>
      </c>
      <c r="M2" s="548" t="str">
        <f>D2</f>
        <v>HU-1433</v>
      </c>
      <c r="O2" s="548" t="str">
        <f>F2</f>
        <v>Bekämpning av bladfläcksjuka i korn</v>
      </c>
    </row>
    <row r="3" spans="1:37" s="548" customFormat="1" x14ac:dyDescent="0.2">
      <c r="B3" s="551" t="s">
        <v>799</v>
      </c>
      <c r="C3" s="552" t="s">
        <v>231</v>
      </c>
      <c r="D3" s="553" t="str">
        <f>C3</f>
        <v>F1</v>
      </c>
      <c r="E3" s="553" t="str">
        <f>D3</f>
        <v>F1</v>
      </c>
      <c r="F3" s="554" t="s">
        <v>232</v>
      </c>
      <c r="G3" s="555" t="str">
        <f t="shared" ref="G3:H5" si="0">F3</f>
        <v>F2</v>
      </c>
      <c r="H3" s="555" t="str">
        <f t="shared" si="0"/>
        <v>F2</v>
      </c>
      <c r="I3" s="552" t="s">
        <v>1172</v>
      </c>
      <c r="J3" s="553" t="str">
        <f t="shared" ref="J3:K5" si="1">I3</f>
        <v>F3</v>
      </c>
      <c r="K3" s="556" t="str">
        <f t="shared" si="1"/>
        <v>F3</v>
      </c>
      <c r="L3" s="557" t="s">
        <v>233</v>
      </c>
      <c r="M3" s="557" t="str">
        <f>L3</f>
        <v>G1</v>
      </c>
      <c r="N3" s="557" t="str">
        <f t="shared" ref="N3:P3" si="2">M3</f>
        <v>G1</v>
      </c>
      <c r="O3" s="557" t="str">
        <f t="shared" si="2"/>
        <v>G1</v>
      </c>
      <c r="P3" s="557" t="str">
        <f t="shared" si="2"/>
        <v>G1</v>
      </c>
      <c r="Q3" s="551" t="s">
        <v>234</v>
      </c>
      <c r="R3" s="558" t="str">
        <f>Q3</f>
        <v>G2</v>
      </c>
      <c r="S3" s="558" t="str">
        <f t="shared" ref="S3:U3" si="3">R3</f>
        <v>G2</v>
      </c>
      <c r="T3" s="558" t="str">
        <f t="shared" si="3"/>
        <v>G2</v>
      </c>
      <c r="U3" s="559" t="str">
        <f t="shared" si="3"/>
        <v>G2</v>
      </c>
      <c r="V3" s="560" t="s">
        <v>235</v>
      </c>
      <c r="W3" s="557" t="str">
        <f>V3</f>
        <v>G3</v>
      </c>
      <c r="X3" s="557" t="str">
        <f t="shared" ref="X3:Z3" si="4">W3</f>
        <v>G3</v>
      </c>
      <c r="Y3" s="557" t="str">
        <f t="shared" si="4"/>
        <v>G3</v>
      </c>
      <c r="Z3" s="561" t="str">
        <f t="shared" si="4"/>
        <v>G3</v>
      </c>
      <c r="AA3" s="551" t="s">
        <v>236</v>
      </c>
      <c r="AB3" s="558" t="str">
        <f>AA3</f>
        <v>G4</v>
      </c>
      <c r="AC3" s="558" t="str">
        <f t="shared" ref="AC3:AG3" si="5">AB3</f>
        <v>G4</v>
      </c>
      <c r="AD3" s="558" t="str">
        <f t="shared" si="5"/>
        <v>G4</v>
      </c>
      <c r="AE3" s="559" t="str">
        <f t="shared" si="5"/>
        <v>G4</v>
      </c>
      <c r="AF3" s="558" t="s">
        <v>641</v>
      </c>
      <c r="AG3" s="558" t="str">
        <f t="shared" si="5"/>
        <v>G5</v>
      </c>
      <c r="AH3" s="558" t="str">
        <f t="shared" ref="AH3:AH5" si="6">AG3</f>
        <v>G5</v>
      </c>
      <c r="AI3" s="558" t="str">
        <f t="shared" ref="AI3:AI5" si="7">AH3</f>
        <v>G5</v>
      </c>
      <c r="AJ3" s="559" t="str">
        <f t="shared" ref="AJ3:AJ5" si="8">AI3</f>
        <v>G5</v>
      </c>
      <c r="AK3" s="562" t="s">
        <v>952</v>
      </c>
    </row>
    <row r="4" spans="1:37" s="548" customFormat="1" x14ac:dyDescent="0.2">
      <c r="B4" s="563" t="s">
        <v>42</v>
      </c>
      <c r="C4" s="564">
        <f>'F1'!I2</f>
        <v>0</v>
      </c>
      <c r="D4" s="565">
        <f t="shared" ref="D4:E5" si="9">C4</f>
        <v>0</v>
      </c>
      <c r="E4" s="565">
        <f t="shared" si="9"/>
        <v>0</v>
      </c>
      <c r="F4" s="564">
        <f>'F2'!I2</f>
        <v>0</v>
      </c>
      <c r="G4" s="565">
        <f t="shared" si="0"/>
        <v>0</v>
      </c>
      <c r="H4" s="565">
        <f t="shared" si="0"/>
        <v>0</v>
      </c>
      <c r="I4" s="564" t="e">
        <f>#REF!</f>
        <v>#REF!</v>
      </c>
      <c r="J4" s="565" t="e">
        <f t="shared" si="1"/>
        <v>#REF!</v>
      </c>
      <c r="K4" s="566" t="e">
        <f t="shared" si="1"/>
        <v>#REF!</v>
      </c>
      <c r="L4" s="565">
        <f>'G1'!K2</f>
        <v>0</v>
      </c>
      <c r="M4" s="565">
        <f>L4</f>
        <v>0</v>
      </c>
      <c r="N4" s="565">
        <f t="shared" ref="N4:P5" si="10">M4</f>
        <v>0</v>
      </c>
      <c r="O4" s="565">
        <f t="shared" si="10"/>
        <v>0</v>
      </c>
      <c r="P4" s="565">
        <f t="shared" si="10"/>
        <v>0</v>
      </c>
      <c r="Q4" s="564">
        <f>'G2'!$I2</f>
        <v>0</v>
      </c>
      <c r="R4" s="565">
        <f>Q4</f>
        <v>0</v>
      </c>
      <c r="S4" s="565">
        <f t="shared" ref="S4:U5" si="11">R4</f>
        <v>0</v>
      </c>
      <c r="T4" s="565">
        <f t="shared" si="11"/>
        <v>0</v>
      </c>
      <c r="U4" s="566">
        <f t="shared" si="11"/>
        <v>0</v>
      </c>
      <c r="V4" s="564">
        <f>'G3'!$I2</f>
        <v>0</v>
      </c>
      <c r="W4" s="565">
        <f>V4</f>
        <v>0</v>
      </c>
      <c r="X4" s="565">
        <f t="shared" ref="X4:Z5" si="12">W4</f>
        <v>0</v>
      </c>
      <c r="Y4" s="565">
        <f t="shared" si="12"/>
        <v>0</v>
      </c>
      <c r="Z4" s="566">
        <f t="shared" si="12"/>
        <v>0</v>
      </c>
      <c r="AA4" s="564" t="e">
        <f>#REF!</f>
        <v>#REF!</v>
      </c>
      <c r="AB4" s="565" t="e">
        <f>AA4</f>
        <v>#REF!</v>
      </c>
      <c r="AC4" s="565" t="e">
        <f t="shared" ref="AC4:AE5" si="13">AB4</f>
        <v>#REF!</v>
      </c>
      <c r="AD4" s="565" t="e">
        <f t="shared" si="13"/>
        <v>#REF!</v>
      </c>
      <c r="AE4" s="566" t="e">
        <f t="shared" si="13"/>
        <v>#REF!</v>
      </c>
      <c r="AF4" s="565" t="e">
        <f>#REF!</f>
        <v>#REF!</v>
      </c>
      <c r="AG4" s="565" t="e">
        <f>AF4</f>
        <v>#REF!</v>
      </c>
      <c r="AH4" s="565" t="e">
        <f t="shared" si="6"/>
        <v>#REF!</v>
      </c>
      <c r="AI4" s="565" t="e">
        <f t="shared" si="7"/>
        <v>#REF!</v>
      </c>
      <c r="AJ4" s="566" t="e">
        <f t="shared" si="8"/>
        <v>#REF!</v>
      </c>
      <c r="AK4" s="567">
        <f>Skörd!E2</f>
        <v>0</v>
      </c>
    </row>
    <row r="5" spans="1:37" s="548" customFormat="1" x14ac:dyDescent="0.2">
      <c r="B5" s="563" t="s">
        <v>800</v>
      </c>
      <c r="C5" s="564">
        <f>'F1'!$K2</f>
        <v>0</v>
      </c>
      <c r="D5" s="565">
        <f t="shared" si="9"/>
        <v>0</v>
      </c>
      <c r="E5" s="565">
        <f t="shared" si="9"/>
        <v>0</v>
      </c>
      <c r="F5" s="564">
        <f>'F2'!$K2</f>
        <v>0</v>
      </c>
      <c r="G5" s="565">
        <f t="shared" si="0"/>
        <v>0</v>
      </c>
      <c r="H5" s="565">
        <f t="shared" si="0"/>
        <v>0</v>
      </c>
      <c r="I5" s="564">
        <f>'F2'!$K2</f>
        <v>0</v>
      </c>
      <c r="J5" s="565">
        <f t="shared" si="1"/>
        <v>0</v>
      </c>
      <c r="K5" s="566">
        <f t="shared" si="1"/>
        <v>0</v>
      </c>
      <c r="L5" s="565">
        <f>'G1'!M2</f>
        <v>0</v>
      </c>
      <c r="M5" s="565">
        <f>L5</f>
        <v>0</v>
      </c>
      <c r="N5" s="565">
        <f t="shared" si="10"/>
        <v>0</v>
      </c>
      <c r="O5" s="565">
        <f t="shared" si="10"/>
        <v>0</v>
      </c>
      <c r="P5" s="565">
        <f t="shared" si="10"/>
        <v>0</v>
      </c>
      <c r="Q5" s="564">
        <f>'G2'!$K2</f>
        <v>0</v>
      </c>
      <c r="R5" s="565">
        <f>Q5</f>
        <v>0</v>
      </c>
      <c r="S5" s="565">
        <f t="shared" si="11"/>
        <v>0</v>
      </c>
      <c r="T5" s="565">
        <f t="shared" si="11"/>
        <v>0</v>
      </c>
      <c r="U5" s="566">
        <f t="shared" si="11"/>
        <v>0</v>
      </c>
      <c r="V5" s="564">
        <f>'G3'!$K2</f>
        <v>0</v>
      </c>
      <c r="W5" s="565">
        <f>V5</f>
        <v>0</v>
      </c>
      <c r="X5" s="565">
        <f t="shared" si="12"/>
        <v>0</v>
      </c>
      <c r="Y5" s="565">
        <f t="shared" si="12"/>
        <v>0</v>
      </c>
      <c r="Z5" s="566">
        <f t="shared" si="12"/>
        <v>0</v>
      </c>
      <c r="AA5" s="564" t="e">
        <f>#REF!</f>
        <v>#REF!</v>
      </c>
      <c r="AB5" s="565" t="e">
        <f>AA5</f>
        <v>#REF!</v>
      </c>
      <c r="AC5" s="565" t="e">
        <f t="shared" si="13"/>
        <v>#REF!</v>
      </c>
      <c r="AD5" s="565" t="e">
        <f t="shared" si="13"/>
        <v>#REF!</v>
      </c>
      <c r="AE5" s="566" t="e">
        <f t="shared" si="13"/>
        <v>#REF!</v>
      </c>
      <c r="AF5" s="565" t="e">
        <f>#REF!</f>
        <v>#REF!</v>
      </c>
      <c r="AG5" s="565" t="e">
        <f>AF5</f>
        <v>#REF!</v>
      </c>
      <c r="AH5" s="565" t="e">
        <f t="shared" si="6"/>
        <v>#REF!</v>
      </c>
      <c r="AI5" s="565" t="e">
        <f t="shared" si="7"/>
        <v>#REF!</v>
      </c>
      <c r="AJ5" s="566" t="e">
        <f t="shared" si="8"/>
        <v>#REF!</v>
      </c>
      <c r="AK5" s="567"/>
    </row>
    <row r="6" spans="1:37" s="548" customFormat="1" x14ac:dyDescent="0.2">
      <c r="A6" s="549"/>
      <c r="B6" s="563"/>
      <c r="C6" s="564">
        <f>'F1'!E4</f>
        <v>0</v>
      </c>
      <c r="D6" s="565">
        <f>'F1'!F4</f>
        <v>0</v>
      </c>
      <c r="E6" s="565">
        <f>'F1'!G4</f>
        <v>0</v>
      </c>
      <c r="F6" s="564">
        <f>'F2'!E4</f>
        <v>0</v>
      </c>
      <c r="G6" s="565">
        <f>'F2'!F4</f>
        <v>0</v>
      </c>
      <c r="H6" s="565">
        <f>'F2'!G4</f>
        <v>0</v>
      </c>
      <c r="I6" s="564" t="e">
        <f>#REF!</f>
        <v>#REF!</v>
      </c>
      <c r="J6" s="565" t="e">
        <f>#REF!</f>
        <v>#REF!</v>
      </c>
      <c r="K6" s="566" t="e">
        <f>#REF!</f>
        <v>#REF!</v>
      </c>
      <c r="L6" s="565">
        <f>'G1'!E4</f>
        <v>0</v>
      </c>
      <c r="M6" s="565">
        <f>'G1'!F4</f>
        <v>0</v>
      </c>
      <c r="N6" s="565">
        <f>'G1'!G4</f>
        <v>0</v>
      </c>
      <c r="O6" s="565">
        <f>'G1'!H4</f>
        <v>0</v>
      </c>
      <c r="P6" s="565">
        <f>'G1'!I4</f>
        <v>0</v>
      </c>
      <c r="Q6" s="564">
        <f>'G2'!$E4</f>
        <v>0</v>
      </c>
      <c r="R6" s="565">
        <f>'G2'!$F4</f>
        <v>0</v>
      </c>
      <c r="S6" s="565">
        <f>'G2'!$G4</f>
        <v>0</v>
      </c>
      <c r="T6" s="565">
        <f>'G2'!$H4</f>
        <v>0</v>
      </c>
      <c r="U6" s="566">
        <f>'G2'!$I4</f>
        <v>0</v>
      </c>
      <c r="V6" s="564">
        <f>'G3'!$E4</f>
        <v>0</v>
      </c>
      <c r="W6" s="565">
        <f>'G3'!$F4</f>
        <v>0</v>
      </c>
      <c r="X6" s="565">
        <f>'G3'!$G4</f>
        <v>0</v>
      </c>
      <c r="Y6" s="565">
        <f>'G3'!$H4</f>
        <v>0</v>
      </c>
      <c r="Z6" s="566">
        <f>'G3'!$I4</f>
        <v>0</v>
      </c>
      <c r="AA6" s="564" t="e">
        <f>#REF!</f>
        <v>#REF!</v>
      </c>
      <c r="AB6" s="565" t="e">
        <f>#REF!</f>
        <v>#REF!</v>
      </c>
      <c r="AC6" s="565" t="e">
        <f>#REF!</f>
        <v>#REF!</v>
      </c>
      <c r="AD6" s="565" t="e">
        <f>#REF!</f>
        <v>#REF!</v>
      </c>
      <c r="AE6" s="566" t="e">
        <f>#REF!</f>
        <v>#REF!</v>
      </c>
      <c r="AF6" s="565" t="e">
        <f>#REF!</f>
        <v>#REF!</v>
      </c>
      <c r="AG6" s="565" t="e">
        <f>#REF!</f>
        <v>#REF!</v>
      </c>
      <c r="AH6" s="565" t="e">
        <f>#REF!</f>
        <v>#REF!</v>
      </c>
      <c r="AI6" s="565" t="e">
        <f>#REF!</f>
        <v>#REF!</v>
      </c>
      <c r="AJ6" s="566" t="e">
        <f>#REF!</f>
        <v>#REF!</v>
      </c>
      <c r="AK6" s="567"/>
    </row>
    <row r="7" spans="1:37" s="548" customFormat="1" x14ac:dyDescent="0.2">
      <c r="A7" s="549"/>
      <c r="B7" s="563"/>
      <c r="C7" s="564">
        <f>'F1'!E5</f>
        <v>0</v>
      </c>
      <c r="D7" s="565">
        <f>'F1'!F5</f>
        <v>0</v>
      </c>
      <c r="E7" s="565">
        <f>'F1'!G5</f>
        <v>0</v>
      </c>
      <c r="F7" s="564">
        <f>'F2'!E5</f>
        <v>0</v>
      </c>
      <c r="G7" s="565">
        <f>'F2'!F5</f>
        <v>0</v>
      </c>
      <c r="H7" s="565">
        <f>'F2'!G5</f>
        <v>0</v>
      </c>
      <c r="I7" s="564" t="e">
        <f>#REF!</f>
        <v>#REF!</v>
      </c>
      <c r="J7" s="565" t="e">
        <f>#REF!</f>
        <v>#REF!</v>
      </c>
      <c r="K7" s="566" t="e">
        <f>#REF!</f>
        <v>#REF!</v>
      </c>
      <c r="L7" s="565">
        <f>'G1'!E6</f>
        <v>0</v>
      </c>
      <c r="M7" s="565">
        <f>'G1'!F6</f>
        <v>0</v>
      </c>
      <c r="N7" s="565">
        <f>'G1'!G6</f>
        <v>0</v>
      </c>
      <c r="O7" s="565">
        <f>'G1'!H6</f>
        <v>0</v>
      </c>
      <c r="P7" s="565">
        <f>'G1'!I6</f>
        <v>0</v>
      </c>
      <c r="Q7" s="564">
        <f>'G2'!$E6</f>
        <v>0</v>
      </c>
      <c r="R7" s="565">
        <f>'G2'!$F6</f>
        <v>0</v>
      </c>
      <c r="S7" s="565">
        <f>'G2'!$G6</f>
        <v>0</v>
      </c>
      <c r="T7" s="565">
        <f>'G2'!$H6</f>
        <v>0</v>
      </c>
      <c r="U7" s="566">
        <f>'G2'!$I6</f>
        <v>0</v>
      </c>
      <c r="V7" s="564">
        <f>'G3'!$E6</f>
        <v>0</v>
      </c>
      <c r="W7" s="565">
        <f>'G3'!$F6</f>
        <v>0</v>
      </c>
      <c r="X7" s="565">
        <f>'G3'!$G6</f>
        <v>0</v>
      </c>
      <c r="Y7" s="565">
        <f>'G3'!$H6</f>
        <v>0</v>
      </c>
      <c r="Z7" s="566">
        <f>'G3'!$I6</f>
        <v>0</v>
      </c>
      <c r="AA7" s="564" t="e">
        <f>#REF!</f>
        <v>#REF!</v>
      </c>
      <c r="AB7" s="565" t="e">
        <f>#REF!</f>
        <v>#REF!</v>
      </c>
      <c r="AC7" s="565" t="e">
        <f>#REF!</f>
        <v>#REF!</v>
      </c>
      <c r="AD7" s="565" t="e">
        <f>#REF!</f>
        <v>#REF!</v>
      </c>
      <c r="AE7" s="566" t="e">
        <f>#REF!</f>
        <v>#REF!</v>
      </c>
      <c r="AF7" s="565" t="e">
        <f>#REF!</f>
        <v>#REF!</v>
      </c>
      <c r="AG7" s="565" t="e">
        <f>#REF!</f>
        <v>#REF!</v>
      </c>
      <c r="AH7" s="565" t="e">
        <f>#REF!</f>
        <v>#REF!</v>
      </c>
      <c r="AI7" s="565" t="e">
        <f>#REF!</f>
        <v>#REF!</v>
      </c>
      <c r="AJ7" s="566" t="e">
        <f>#REF!</f>
        <v>#REF!</v>
      </c>
      <c r="AK7" s="568" t="s">
        <v>887</v>
      </c>
    </row>
    <row r="8" spans="1:37" s="548" customFormat="1" x14ac:dyDescent="0.2">
      <c r="A8" s="549"/>
      <c r="B8" s="569"/>
      <c r="C8" s="570"/>
      <c r="D8" s="571"/>
      <c r="E8" s="571"/>
      <c r="F8" s="570"/>
      <c r="G8" s="571"/>
      <c r="H8" s="571"/>
      <c r="I8" s="570"/>
      <c r="J8" s="571"/>
      <c r="K8" s="572"/>
      <c r="L8" s="571"/>
      <c r="M8" s="571"/>
      <c r="N8" s="571"/>
      <c r="O8" s="571"/>
      <c r="P8" s="571"/>
      <c r="Q8" s="570"/>
      <c r="R8" s="571"/>
      <c r="S8" s="571"/>
      <c r="T8" s="571"/>
      <c r="U8" s="572"/>
      <c r="V8" s="570"/>
      <c r="W8" s="571"/>
      <c r="X8" s="571"/>
      <c r="Y8" s="571"/>
      <c r="Z8" s="572"/>
      <c r="AA8" s="570"/>
      <c r="AB8" s="571"/>
      <c r="AC8" s="571"/>
      <c r="AD8" s="571"/>
      <c r="AE8" s="572"/>
      <c r="AF8" s="571"/>
      <c r="AG8" s="571"/>
      <c r="AH8" s="573"/>
      <c r="AI8" s="573"/>
      <c r="AJ8" s="574"/>
      <c r="AK8" s="575"/>
    </row>
    <row r="9" spans="1:37" s="548" customFormat="1" x14ac:dyDescent="0.2">
      <c r="A9" s="549"/>
      <c r="B9" s="576">
        <f t="shared" ref="B9:B25" si="14">B101</f>
        <v>1</v>
      </c>
      <c r="C9" s="577" t="e">
        <f t="shared" ref="C9:K9" si="15">AVERAGE(C31:C34)</f>
        <v>#DIV/0!</v>
      </c>
      <c r="D9" s="578" t="e">
        <f t="shared" si="15"/>
        <v>#DIV/0!</v>
      </c>
      <c r="E9" s="578" t="e">
        <f t="shared" si="15"/>
        <v>#DIV/0!</v>
      </c>
      <c r="F9" s="577" t="e">
        <f t="shared" si="15"/>
        <v>#DIV/0!</v>
      </c>
      <c r="G9" s="578" t="e">
        <f t="shared" si="15"/>
        <v>#DIV/0!</v>
      </c>
      <c r="H9" s="579" t="e">
        <f t="shared" si="15"/>
        <v>#DIV/0!</v>
      </c>
      <c r="I9" s="578" t="e">
        <f t="shared" si="15"/>
        <v>#DIV/0!</v>
      </c>
      <c r="J9" s="578" t="e">
        <f t="shared" si="15"/>
        <v>#DIV/0!</v>
      </c>
      <c r="K9" s="579" t="e">
        <f t="shared" si="15"/>
        <v>#DIV/0!</v>
      </c>
      <c r="L9" s="578" t="e">
        <f t="shared" ref="L9:P9" si="16">AVERAGE(L31:L34)</f>
        <v>#DIV/0!</v>
      </c>
      <c r="M9" s="578" t="e">
        <f t="shared" si="16"/>
        <v>#DIV/0!</v>
      </c>
      <c r="N9" s="578" t="e">
        <f t="shared" si="16"/>
        <v>#DIV/0!</v>
      </c>
      <c r="O9" s="578" t="e">
        <f t="shared" si="16"/>
        <v>#DIV/0!</v>
      </c>
      <c r="P9" s="578" t="e">
        <f t="shared" si="16"/>
        <v>#DIV/0!</v>
      </c>
      <c r="Q9" s="577" t="e">
        <f t="shared" ref="Q9:U9" si="17">AVERAGE(Q31:Q34)</f>
        <v>#DIV/0!</v>
      </c>
      <c r="R9" s="578" t="e">
        <f t="shared" si="17"/>
        <v>#DIV/0!</v>
      </c>
      <c r="S9" s="578" t="e">
        <f t="shared" si="17"/>
        <v>#DIV/0!</v>
      </c>
      <c r="T9" s="578" t="e">
        <f t="shared" si="17"/>
        <v>#DIV/0!</v>
      </c>
      <c r="U9" s="579" t="e">
        <f t="shared" si="17"/>
        <v>#DIV/0!</v>
      </c>
      <c r="V9" s="577" t="e">
        <f t="shared" ref="V9:Z9" si="18">AVERAGE(V31:V34)</f>
        <v>#DIV/0!</v>
      </c>
      <c r="W9" s="578" t="e">
        <f t="shared" si="18"/>
        <v>#DIV/0!</v>
      </c>
      <c r="X9" s="578" t="e">
        <f t="shared" si="18"/>
        <v>#DIV/0!</v>
      </c>
      <c r="Y9" s="578" t="e">
        <f t="shared" si="18"/>
        <v>#DIV/0!</v>
      </c>
      <c r="Z9" s="579" t="e">
        <f t="shared" si="18"/>
        <v>#DIV/0!</v>
      </c>
      <c r="AA9" s="577" t="e">
        <f t="shared" ref="AA9:AG9" si="19">AVERAGE(AA31:AA34)</f>
        <v>#DIV/0!</v>
      </c>
      <c r="AB9" s="578" t="e">
        <f t="shared" si="19"/>
        <v>#DIV/0!</v>
      </c>
      <c r="AC9" s="578" t="e">
        <f t="shared" si="19"/>
        <v>#DIV/0!</v>
      </c>
      <c r="AD9" s="578" t="e">
        <f t="shared" si="19"/>
        <v>#DIV/0!</v>
      </c>
      <c r="AE9" s="579" t="e">
        <f t="shared" si="19"/>
        <v>#DIV/0!</v>
      </c>
      <c r="AF9" s="578" t="e">
        <f t="shared" si="19"/>
        <v>#DIV/0!</v>
      </c>
      <c r="AG9" s="578" t="e">
        <f t="shared" si="19"/>
        <v>#DIV/0!</v>
      </c>
      <c r="AH9" s="578" t="e">
        <f t="shared" ref="AH9:AJ9" si="20">AVERAGE(AH31:AH34)</f>
        <v>#DIV/0!</v>
      </c>
      <c r="AI9" s="578" t="e">
        <f t="shared" si="20"/>
        <v>#DIV/0!</v>
      </c>
      <c r="AJ9" s="579" t="e">
        <f t="shared" si="20"/>
        <v>#DIV/0!</v>
      </c>
      <c r="AK9" s="579" t="e">
        <f t="shared" ref="AK9" si="21">AVERAGE(AK31:AK34)</f>
        <v>#DIV/0!</v>
      </c>
    </row>
    <row r="10" spans="1:37" s="548" customFormat="1" x14ac:dyDescent="0.2">
      <c r="A10" s="549"/>
      <c r="B10" s="576">
        <f t="shared" si="14"/>
        <v>2</v>
      </c>
      <c r="C10" s="577" t="e">
        <f t="shared" ref="C10:K10" si="22">AVERAGE(C35:C38)</f>
        <v>#DIV/0!</v>
      </c>
      <c r="D10" s="578" t="e">
        <f t="shared" si="22"/>
        <v>#DIV/0!</v>
      </c>
      <c r="E10" s="578" t="e">
        <f t="shared" si="22"/>
        <v>#DIV/0!</v>
      </c>
      <c r="F10" s="577" t="e">
        <f t="shared" si="22"/>
        <v>#DIV/0!</v>
      </c>
      <c r="G10" s="578" t="e">
        <f t="shared" si="22"/>
        <v>#DIV/0!</v>
      </c>
      <c r="H10" s="579" t="e">
        <f t="shared" si="22"/>
        <v>#DIV/0!</v>
      </c>
      <c r="I10" s="578" t="e">
        <f t="shared" si="22"/>
        <v>#DIV/0!</v>
      </c>
      <c r="J10" s="578" t="e">
        <f t="shared" si="22"/>
        <v>#DIV/0!</v>
      </c>
      <c r="K10" s="579" t="e">
        <f t="shared" si="22"/>
        <v>#DIV/0!</v>
      </c>
      <c r="L10" s="578" t="e">
        <f t="shared" ref="L10:P10" si="23">AVERAGE(L35:L38)</f>
        <v>#DIV/0!</v>
      </c>
      <c r="M10" s="578" t="e">
        <f t="shared" si="23"/>
        <v>#DIV/0!</v>
      </c>
      <c r="N10" s="578" t="e">
        <f t="shared" si="23"/>
        <v>#DIV/0!</v>
      </c>
      <c r="O10" s="578" t="e">
        <f t="shared" si="23"/>
        <v>#DIV/0!</v>
      </c>
      <c r="P10" s="578" t="e">
        <f t="shared" si="23"/>
        <v>#DIV/0!</v>
      </c>
      <c r="Q10" s="577" t="e">
        <f t="shared" ref="Q10:U10" si="24">AVERAGE(Q35:Q38)</f>
        <v>#DIV/0!</v>
      </c>
      <c r="R10" s="578" t="e">
        <f t="shared" si="24"/>
        <v>#DIV/0!</v>
      </c>
      <c r="S10" s="578" t="e">
        <f t="shared" si="24"/>
        <v>#DIV/0!</v>
      </c>
      <c r="T10" s="578" t="e">
        <f t="shared" si="24"/>
        <v>#DIV/0!</v>
      </c>
      <c r="U10" s="579" t="e">
        <f t="shared" si="24"/>
        <v>#DIV/0!</v>
      </c>
      <c r="V10" s="577" t="e">
        <f t="shared" ref="V10:Z10" si="25">AVERAGE(V35:V38)</f>
        <v>#DIV/0!</v>
      </c>
      <c r="W10" s="578" t="e">
        <f t="shared" si="25"/>
        <v>#DIV/0!</v>
      </c>
      <c r="X10" s="578" t="e">
        <f t="shared" si="25"/>
        <v>#DIV/0!</v>
      </c>
      <c r="Y10" s="578" t="e">
        <f t="shared" si="25"/>
        <v>#DIV/0!</v>
      </c>
      <c r="Z10" s="579" t="e">
        <f t="shared" si="25"/>
        <v>#DIV/0!</v>
      </c>
      <c r="AA10" s="577" t="e">
        <f t="shared" ref="AA10:AG10" si="26">AVERAGE(AA35:AA38)</f>
        <v>#DIV/0!</v>
      </c>
      <c r="AB10" s="578" t="e">
        <f t="shared" si="26"/>
        <v>#DIV/0!</v>
      </c>
      <c r="AC10" s="578" t="e">
        <f t="shared" si="26"/>
        <v>#DIV/0!</v>
      </c>
      <c r="AD10" s="578" t="e">
        <f t="shared" si="26"/>
        <v>#DIV/0!</v>
      </c>
      <c r="AE10" s="579" t="e">
        <f t="shared" si="26"/>
        <v>#DIV/0!</v>
      </c>
      <c r="AF10" s="578" t="e">
        <f t="shared" si="26"/>
        <v>#DIV/0!</v>
      </c>
      <c r="AG10" s="578" t="e">
        <f t="shared" si="26"/>
        <v>#DIV/0!</v>
      </c>
      <c r="AH10" s="578" t="e">
        <f t="shared" ref="AH10:AJ10" si="27">AVERAGE(AH35:AH38)</f>
        <v>#DIV/0!</v>
      </c>
      <c r="AI10" s="578" t="e">
        <f t="shared" si="27"/>
        <v>#DIV/0!</v>
      </c>
      <c r="AJ10" s="579" t="e">
        <f t="shared" si="27"/>
        <v>#DIV/0!</v>
      </c>
      <c r="AK10" s="579" t="e">
        <f t="shared" ref="AK10" si="28">AVERAGE(AK35:AK38)</f>
        <v>#DIV/0!</v>
      </c>
    </row>
    <row r="11" spans="1:37" s="548" customFormat="1" x14ac:dyDescent="0.2">
      <c r="A11" s="549"/>
      <c r="B11" s="576">
        <f t="shared" si="14"/>
        <v>3</v>
      </c>
      <c r="C11" s="577" t="e">
        <f t="shared" ref="C11:K11" si="29">AVERAGE(C39:C42)</f>
        <v>#DIV/0!</v>
      </c>
      <c r="D11" s="578" t="e">
        <f t="shared" si="29"/>
        <v>#DIV/0!</v>
      </c>
      <c r="E11" s="578" t="e">
        <f t="shared" si="29"/>
        <v>#DIV/0!</v>
      </c>
      <c r="F11" s="577" t="e">
        <f t="shared" si="29"/>
        <v>#DIV/0!</v>
      </c>
      <c r="G11" s="578" t="e">
        <f t="shared" si="29"/>
        <v>#DIV/0!</v>
      </c>
      <c r="H11" s="579" t="e">
        <f t="shared" si="29"/>
        <v>#DIV/0!</v>
      </c>
      <c r="I11" s="578" t="e">
        <f t="shared" si="29"/>
        <v>#DIV/0!</v>
      </c>
      <c r="J11" s="578" t="e">
        <f t="shared" si="29"/>
        <v>#DIV/0!</v>
      </c>
      <c r="K11" s="579" t="e">
        <f t="shared" si="29"/>
        <v>#DIV/0!</v>
      </c>
      <c r="L11" s="578" t="e">
        <f t="shared" ref="L11:P11" si="30">AVERAGE(L39:L42)</f>
        <v>#DIV/0!</v>
      </c>
      <c r="M11" s="578" t="e">
        <f t="shared" si="30"/>
        <v>#DIV/0!</v>
      </c>
      <c r="N11" s="578" t="e">
        <f t="shared" si="30"/>
        <v>#DIV/0!</v>
      </c>
      <c r="O11" s="578" t="e">
        <f t="shared" si="30"/>
        <v>#DIV/0!</v>
      </c>
      <c r="P11" s="578" t="e">
        <f t="shared" si="30"/>
        <v>#DIV/0!</v>
      </c>
      <c r="Q11" s="577" t="e">
        <f t="shared" ref="Q11:U11" si="31">AVERAGE(Q39:Q42)</f>
        <v>#DIV/0!</v>
      </c>
      <c r="R11" s="578" t="e">
        <f t="shared" si="31"/>
        <v>#DIV/0!</v>
      </c>
      <c r="S11" s="578" t="e">
        <f t="shared" si="31"/>
        <v>#DIV/0!</v>
      </c>
      <c r="T11" s="578" t="e">
        <f t="shared" si="31"/>
        <v>#DIV/0!</v>
      </c>
      <c r="U11" s="579" t="e">
        <f t="shared" si="31"/>
        <v>#DIV/0!</v>
      </c>
      <c r="V11" s="577" t="e">
        <f t="shared" ref="V11:Z11" si="32">AVERAGE(V39:V42)</f>
        <v>#DIV/0!</v>
      </c>
      <c r="W11" s="578" t="e">
        <f t="shared" si="32"/>
        <v>#DIV/0!</v>
      </c>
      <c r="X11" s="578" t="e">
        <f t="shared" si="32"/>
        <v>#DIV/0!</v>
      </c>
      <c r="Y11" s="578" t="e">
        <f t="shared" si="32"/>
        <v>#DIV/0!</v>
      </c>
      <c r="Z11" s="579" t="e">
        <f t="shared" si="32"/>
        <v>#DIV/0!</v>
      </c>
      <c r="AA11" s="577" t="e">
        <f t="shared" ref="AA11:AG11" si="33">AVERAGE(AA39:AA42)</f>
        <v>#DIV/0!</v>
      </c>
      <c r="AB11" s="578" t="e">
        <f t="shared" si="33"/>
        <v>#DIV/0!</v>
      </c>
      <c r="AC11" s="578" t="e">
        <f t="shared" si="33"/>
        <v>#DIV/0!</v>
      </c>
      <c r="AD11" s="578" t="e">
        <f t="shared" si="33"/>
        <v>#DIV/0!</v>
      </c>
      <c r="AE11" s="579" t="e">
        <f t="shared" si="33"/>
        <v>#DIV/0!</v>
      </c>
      <c r="AF11" s="578" t="e">
        <f t="shared" si="33"/>
        <v>#DIV/0!</v>
      </c>
      <c r="AG11" s="578" t="e">
        <f t="shared" si="33"/>
        <v>#DIV/0!</v>
      </c>
      <c r="AH11" s="578" t="e">
        <f t="shared" ref="AH11:AJ11" si="34">AVERAGE(AH39:AH42)</f>
        <v>#DIV/0!</v>
      </c>
      <c r="AI11" s="578" t="e">
        <f t="shared" si="34"/>
        <v>#DIV/0!</v>
      </c>
      <c r="AJ11" s="579" t="e">
        <f t="shared" si="34"/>
        <v>#DIV/0!</v>
      </c>
      <c r="AK11" s="579" t="e">
        <f t="shared" ref="AK11" si="35">AVERAGE(AK39:AK42)</f>
        <v>#N/A</v>
      </c>
    </row>
    <row r="12" spans="1:37" s="548" customFormat="1" x14ac:dyDescent="0.2">
      <c r="A12" s="549"/>
      <c r="B12" s="576">
        <f t="shared" si="14"/>
        <v>4</v>
      </c>
      <c r="C12" s="577" t="e">
        <f t="shared" ref="C12:K12" si="36">AVERAGE(C43:C46)</f>
        <v>#DIV/0!</v>
      </c>
      <c r="D12" s="578" t="e">
        <f t="shared" si="36"/>
        <v>#DIV/0!</v>
      </c>
      <c r="E12" s="578" t="e">
        <f t="shared" si="36"/>
        <v>#DIV/0!</v>
      </c>
      <c r="F12" s="577" t="e">
        <f t="shared" si="36"/>
        <v>#DIV/0!</v>
      </c>
      <c r="G12" s="578" t="e">
        <f t="shared" si="36"/>
        <v>#DIV/0!</v>
      </c>
      <c r="H12" s="579" t="e">
        <f t="shared" si="36"/>
        <v>#DIV/0!</v>
      </c>
      <c r="I12" s="578" t="e">
        <f t="shared" si="36"/>
        <v>#DIV/0!</v>
      </c>
      <c r="J12" s="578" t="e">
        <f t="shared" si="36"/>
        <v>#DIV/0!</v>
      </c>
      <c r="K12" s="579" t="e">
        <f t="shared" si="36"/>
        <v>#DIV/0!</v>
      </c>
      <c r="L12" s="578" t="e">
        <f t="shared" ref="L12:P12" si="37">AVERAGE(L43:L46)</f>
        <v>#DIV/0!</v>
      </c>
      <c r="M12" s="578" t="e">
        <f t="shared" si="37"/>
        <v>#DIV/0!</v>
      </c>
      <c r="N12" s="578" t="e">
        <f t="shared" si="37"/>
        <v>#DIV/0!</v>
      </c>
      <c r="O12" s="578" t="e">
        <f t="shared" si="37"/>
        <v>#DIV/0!</v>
      </c>
      <c r="P12" s="578" t="e">
        <f t="shared" si="37"/>
        <v>#DIV/0!</v>
      </c>
      <c r="Q12" s="577" t="e">
        <f t="shared" ref="Q12:U12" si="38">AVERAGE(Q43:Q46)</f>
        <v>#DIV/0!</v>
      </c>
      <c r="R12" s="578" t="e">
        <f t="shared" si="38"/>
        <v>#DIV/0!</v>
      </c>
      <c r="S12" s="578" t="e">
        <f t="shared" si="38"/>
        <v>#DIV/0!</v>
      </c>
      <c r="T12" s="578" t="e">
        <f t="shared" si="38"/>
        <v>#DIV/0!</v>
      </c>
      <c r="U12" s="579" t="e">
        <f t="shared" si="38"/>
        <v>#DIV/0!</v>
      </c>
      <c r="V12" s="577" t="e">
        <f t="shared" ref="V12:Z12" si="39">AVERAGE(V43:V46)</f>
        <v>#DIV/0!</v>
      </c>
      <c r="W12" s="578" t="e">
        <f t="shared" si="39"/>
        <v>#DIV/0!</v>
      </c>
      <c r="X12" s="578" t="e">
        <f t="shared" si="39"/>
        <v>#DIV/0!</v>
      </c>
      <c r="Y12" s="578" t="e">
        <f t="shared" si="39"/>
        <v>#DIV/0!</v>
      </c>
      <c r="Z12" s="579" t="e">
        <f t="shared" si="39"/>
        <v>#DIV/0!</v>
      </c>
      <c r="AA12" s="577" t="e">
        <f t="shared" ref="AA12:AG12" si="40">AVERAGE(AA43:AA46)</f>
        <v>#DIV/0!</v>
      </c>
      <c r="AB12" s="578" t="e">
        <f t="shared" si="40"/>
        <v>#DIV/0!</v>
      </c>
      <c r="AC12" s="578" t="e">
        <f t="shared" si="40"/>
        <v>#DIV/0!</v>
      </c>
      <c r="AD12" s="578" t="e">
        <f t="shared" si="40"/>
        <v>#DIV/0!</v>
      </c>
      <c r="AE12" s="579" t="e">
        <f t="shared" si="40"/>
        <v>#DIV/0!</v>
      </c>
      <c r="AF12" s="578" t="e">
        <f t="shared" si="40"/>
        <v>#DIV/0!</v>
      </c>
      <c r="AG12" s="578" t="e">
        <f t="shared" si="40"/>
        <v>#DIV/0!</v>
      </c>
      <c r="AH12" s="578" t="e">
        <f t="shared" ref="AH12:AJ12" si="41">AVERAGE(AH43:AH46)</f>
        <v>#DIV/0!</v>
      </c>
      <c r="AI12" s="578" t="e">
        <f t="shared" si="41"/>
        <v>#DIV/0!</v>
      </c>
      <c r="AJ12" s="579" t="e">
        <f t="shared" si="41"/>
        <v>#DIV/0!</v>
      </c>
      <c r="AK12" s="579" t="e">
        <f t="shared" ref="AK12" si="42">AVERAGE(AK43:AK46)</f>
        <v>#DIV/0!</v>
      </c>
    </row>
    <row r="13" spans="1:37" s="548" customFormat="1" x14ac:dyDescent="0.2">
      <c r="A13" s="549"/>
      <c r="B13" s="576">
        <f t="shared" si="14"/>
        <v>5</v>
      </c>
      <c r="C13" s="577" t="e">
        <f t="shared" ref="C13:K13" si="43">AVERAGE(C47:C50)</f>
        <v>#DIV/0!</v>
      </c>
      <c r="D13" s="578" t="e">
        <f t="shared" si="43"/>
        <v>#DIV/0!</v>
      </c>
      <c r="E13" s="578" t="e">
        <f t="shared" si="43"/>
        <v>#DIV/0!</v>
      </c>
      <c r="F13" s="577" t="e">
        <f t="shared" si="43"/>
        <v>#DIV/0!</v>
      </c>
      <c r="G13" s="578" t="e">
        <f t="shared" si="43"/>
        <v>#DIV/0!</v>
      </c>
      <c r="H13" s="579" t="e">
        <f t="shared" si="43"/>
        <v>#DIV/0!</v>
      </c>
      <c r="I13" s="578" t="e">
        <f t="shared" si="43"/>
        <v>#DIV/0!</v>
      </c>
      <c r="J13" s="578" t="e">
        <f t="shared" si="43"/>
        <v>#DIV/0!</v>
      </c>
      <c r="K13" s="579" t="e">
        <f t="shared" si="43"/>
        <v>#DIV/0!</v>
      </c>
      <c r="L13" s="578" t="e">
        <f t="shared" ref="L13:P13" si="44">AVERAGE(L47:L50)</f>
        <v>#DIV/0!</v>
      </c>
      <c r="M13" s="578" t="e">
        <f t="shared" si="44"/>
        <v>#DIV/0!</v>
      </c>
      <c r="N13" s="578" t="e">
        <f t="shared" si="44"/>
        <v>#DIV/0!</v>
      </c>
      <c r="O13" s="578" t="e">
        <f t="shared" si="44"/>
        <v>#DIV/0!</v>
      </c>
      <c r="P13" s="578" t="e">
        <f t="shared" si="44"/>
        <v>#DIV/0!</v>
      </c>
      <c r="Q13" s="577" t="e">
        <f t="shared" ref="Q13:U13" si="45">AVERAGE(Q47:Q50)</f>
        <v>#DIV/0!</v>
      </c>
      <c r="R13" s="578" t="e">
        <f t="shared" si="45"/>
        <v>#DIV/0!</v>
      </c>
      <c r="S13" s="578" t="e">
        <f t="shared" si="45"/>
        <v>#DIV/0!</v>
      </c>
      <c r="T13" s="578" t="e">
        <f t="shared" si="45"/>
        <v>#DIV/0!</v>
      </c>
      <c r="U13" s="579" t="e">
        <f t="shared" si="45"/>
        <v>#DIV/0!</v>
      </c>
      <c r="V13" s="577" t="e">
        <f t="shared" ref="V13:Z13" si="46">AVERAGE(V47:V50)</f>
        <v>#DIV/0!</v>
      </c>
      <c r="W13" s="578" t="e">
        <f t="shared" si="46"/>
        <v>#DIV/0!</v>
      </c>
      <c r="X13" s="578" t="e">
        <f t="shared" si="46"/>
        <v>#DIV/0!</v>
      </c>
      <c r="Y13" s="578" t="e">
        <f t="shared" si="46"/>
        <v>#DIV/0!</v>
      </c>
      <c r="Z13" s="579" t="e">
        <f t="shared" si="46"/>
        <v>#DIV/0!</v>
      </c>
      <c r="AA13" s="577" t="e">
        <f t="shared" ref="AA13:AG13" si="47">AVERAGE(AA47:AA50)</f>
        <v>#DIV/0!</v>
      </c>
      <c r="AB13" s="578" t="e">
        <f t="shared" si="47"/>
        <v>#DIV/0!</v>
      </c>
      <c r="AC13" s="578" t="e">
        <f t="shared" si="47"/>
        <v>#DIV/0!</v>
      </c>
      <c r="AD13" s="578" t="e">
        <f t="shared" si="47"/>
        <v>#DIV/0!</v>
      </c>
      <c r="AE13" s="579" t="e">
        <f t="shared" si="47"/>
        <v>#DIV/0!</v>
      </c>
      <c r="AF13" s="578" t="e">
        <f t="shared" si="47"/>
        <v>#DIV/0!</v>
      </c>
      <c r="AG13" s="578" t="e">
        <f t="shared" si="47"/>
        <v>#DIV/0!</v>
      </c>
      <c r="AH13" s="578" t="e">
        <f t="shared" ref="AH13:AJ13" si="48">AVERAGE(AH47:AH50)</f>
        <v>#DIV/0!</v>
      </c>
      <c r="AI13" s="578" t="e">
        <f t="shared" si="48"/>
        <v>#DIV/0!</v>
      </c>
      <c r="AJ13" s="579" t="e">
        <f t="shared" si="48"/>
        <v>#DIV/0!</v>
      </c>
      <c r="AK13" s="579" t="e">
        <f t="shared" ref="AK13" si="49">AVERAGE(AK47:AK50)</f>
        <v>#DIV/0!</v>
      </c>
    </row>
    <row r="14" spans="1:37" s="548" customFormat="1" x14ac:dyDescent="0.2">
      <c r="A14" s="549"/>
      <c r="B14" s="576">
        <f t="shared" si="14"/>
        <v>6</v>
      </c>
      <c r="C14" s="577" t="e">
        <f t="shared" ref="C14:K14" si="50">AVERAGE(C51:C54)</f>
        <v>#DIV/0!</v>
      </c>
      <c r="D14" s="578" t="e">
        <f t="shared" si="50"/>
        <v>#DIV/0!</v>
      </c>
      <c r="E14" s="578" t="e">
        <f t="shared" si="50"/>
        <v>#DIV/0!</v>
      </c>
      <c r="F14" s="577" t="e">
        <f t="shared" si="50"/>
        <v>#DIV/0!</v>
      </c>
      <c r="G14" s="578" t="e">
        <f t="shared" si="50"/>
        <v>#DIV/0!</v>
      </c>
      <c r="H14" s="579" t="e">
        <f t="shared" si="50"/>
        <v>#DIV/0!</v>
      </c>
      <c r="I14" s="578" t="e">
        <f t="shared" si="50"/>
        <v>#DIV/0!</v>
      </c>
      <c r="J14" s="578" t="e">
        <f t="shared" si="50"/>
        <v>#DIV/0!</v>
      </c>
      <c r="K14" s="579" t="e">
        <f t="shared" si="50"/>
        <v>#DIV/0!</v>
      </c>
      <c r="L14" s="578" t="e">
        <f t="shared" ref="L14:P14" si="51">AVERAGE(L51:L54)</f>
        <v>#DIV/0!</v>
      </c>
      <c r="M14" s="578" t="e">
        <f t="shared" si="51"/>
        <v>#DIV/0!</v>
      </c>
      <c r="N14" s="578" t="e">
        <f t="shared" si="51"/>
        <v>#DIV/0!</v>
      </c>
      <c r="O14" s="578" t="e">
        <f t="shared" si="51"/>
        <v>#DIV/0!</v>
      </c>
      <c r="P14" s="578" t="e">
        <f t="shared" si="51"/>
        <v>#DIV/0!</v>
      </c>
      <c r="Q14" s="577" t="e">
        <f t="shared" ref="Q14:U14" si="52">AVERAGE(Q51:Q54)</f>
        <v>#DIV/0!</v>
      </c>
      <c r="R14" s="578" t="e">
        <f t="shared" si="52"/>
        <v>#DIV/0!</v>
      </c>
      <c r="S14" s="578" t="e">
        <f t="shared" si="52"/>
        <v>#DIV/0!</v>
      </c>
      <c r="T14" s="578" t="e">
        <f t="shared" si="52"/>
        <v>#DIV/0!</v>
      </c>
      <c r="U14" s="579" t="e">
        <f t="shared" si="52"/>
        <v>#DIV/0!</v>
      </c>
      <c r="V14" s="577" t="e">
        <f t="shared" ref="V14:Z14" si="53">AVERAGE(V51:V54)</f>
        <v>#DIV/0!</v>
      </c>
      <c r="W14" s="578" t="e">
        <f t="shared" si="53"/>
        <v>#DIV/0!</v>
      </c>
      <c r="X14" s="578" t="e">
        <f t="shared" si="53"/>
        <v>#DIV/0!</v>
      </c>
      <c r="Y14" s="578" t="e">
        <f t="shared" si="53"/>
        <v>#DIV/0!</v>
      </c>
      <c r="Z14" s="579" t="e">
        <f t="shared" si="53"/>
        <v>#DIV/0!</v>
      </c>
      <c r="AA14" s="577" t="e">
        <f t="shared" ref="AA14:AG14" si="54">AVERAGE(AA51:AA54)</f>
        <v>#DIV/0!</v>
      </c>
      <c r="AB14" s="578" t="e">
        <f t="shared" si="54"/>
        <v>#DIV/0!</v>
      </c>
      <c r="AC14" s="578" t="e">
        <f t="shared" si="54"/>
        <v>#DIV/0!</v>
      </c>
      <c r="AD14" s="578" t="e">
        <f t="shared" si="54"/>
        <v>#DIV/0!</v>
      </c>
      <c r="AE14" s="579" t="e">
        <f t="shared" si="54"/>
        <v>#DIV/0!</v>
      </c>
      <c r="AF14" s="578" t="e">
        <f t="shared" si="54"/>
        <v>#DIV/0!</v>
      </c>
      <c r="AG14" s="578" t="e">
        <f t="shared" si="54"/>
        <v>#DIV/0!</v>
      </c>
      <c r="AH14" s="578" t="e">
        <f t="shared" ref="AH14:AJ14" si="55">AVERAGE(AH51:AH54)</f>
        <v>#DIV/0!</v>
      </c>
      <c r="AI14" s="578" t="e">
        <f t="shared" si="55"/>
        <v>#DIV/0!</v>
      </c>
      <c r="AJ14" s="579" t="e">
        <f t="shared" si="55"/>
        <v>#DIV/0!</v>
      </c>
      <c r="AK14" s="579" t="e">
        <f t="shared" ref="AK14" si="56">AVERAGE(AK51:AK54)</f>
        <v>#N/A</v>
      </c>
    </row>
    <row r="15" spans="1:37" s="548" customFormat="1" x14ac:dyDescent="0.2">
      <c r="A15" s="549"/>
      <c r="B15" s="576">
        <f t="shared" si="14"/>
        <v>7</v>
      </c>
      <c r="C15" s="577" t="e">
        <f t="shared" ref="C15:K15" si="57">AVERAGE(C55:C58)</f>
        <v>#DIV/0!</v>
      </c>
      <c r="D15" s="578" t="e">
        <f t="shared" si="57"/>
        <v>#DIV/0!</v>
      </c>
      <c r="E15" s="578" t="e">
        <f t="shared" si="57"/>
        <v>#DIV/0!</v>
      </c>
      <c r="F15" s="577" t="e">
        <f t="shared" si="57"/>
        <v>#DIV/0!</v>
      </c>
      <c r="G15" s="578" t="e">
        <f t="shared" si="57"/>
        <v>#DIV/0!</v>
      </c>
      <c r="H15" s="579" t="e">
        <f t="shared" si="57"/>
        <v>#DIV/0!</v>
      </c>
      <c r="I15" s="578" t="e">
        <f t="shared" si="57"/>
        <v>#DIV/0!</v>
      </c>
      <c r="J15" s="578" t="e">
        <f t="shared" si="57"/>
        <v>#DIV/0!</v>
      </c>
      <c r="K15" s="579" t="e">
        <f t="shared" si="57"/>
        <v>#DIV/0!</v>
      </c>
      <c r="L15" s="578" t="e">
        <f t="shared" ref="L15:P15" si="58">AVERAGE(L55:L58)</f>
        <v>#DIV/0!</v>
      </c>
      <c r="M15" s="578" t="e">
        <f t="shared" si="58"/>
        <v>#DIV/0!</v>
      </c>
      <c r="N15" s="578" t="e">
        <f t="shared" si="58"/>
        <v>#DIV/0!</v>
      </c>
      <c r="O15" s="578" t="e">
        <f t="shared" si="58"/>
        <v>#DIV/0!</v>
      </c>
      <c r="P15" s="578" t="e">
        <f t="shared" si="58"/>
        <v>#DIV/0!</v>
      </c>
      <c r="Q15" s="577" t="e">
        <f t="shared" ref="Q15:U15" si="59">AVERAGE(Q55:Q58)</f>
        <v>#DIV/0!</v>
      </c>
      <c r="R15" s="578" t="e">
        <f t="shared" si="59"/>
        <v>#DIV/0!</v>
      </c>
      <c r="S15" s="578" t="e">
        <f t="shared" si="59"/>
        <v>#DIV/0!</v>
      </c>
      <c r="T15" s="578" t="e">
        <f t="shared" si="59"/>
        <v>#DIV/0!</v>
      </c>
      <c r="U15" s="579" t="e">
        <f t="shared" si="59"/>
        <v>#DIV/0!</v>
      </c>
      <c r="V15" s="577" t="e">
        <f t="shared" ref="V15:Z15" si="60">AVERAGE(V55:V58)</f>
        <v>#DIV/0!</v>
      </c>
      <c r="W15" s="578" t="e">
        <f t="shared" si="60"/>
        <v>#DIV/0!</v>
      </c>
      <c r="X15" s="578" t="e">
        <f t="shared" si="60"/>
        <v>#DIV/0!</v>
      </c>
      <c r="Y15" s="578" t="e">
        <f t="shared" si="60"/>
        <v>#DIV/0!</v>
      </c>
      <c r="Z15" s="579" t="e">
        <f t="shared" si="60"/>
        <v>#DIV/0!</v>
      </c>
      <c r="AA15" s="577" t="e">
        <f t="shared" ref="AA15:AG15" si="61">AVERAGE(AA55:AA58)</f>
        <v>#DIV/0!</v>
      </c>
      <c r="AB15" s="578" t="e">
        <f t="shared" si="61"/>
        <v>#DIV/0!</v>
      </c>
      <c r="AC15" s="578" t="e">
        <f t="shared" si="61"/>
        <v>#DIV/0!</v>
      </c>
      <c r="AD15" s="578" t="e">
        <f t="shared" si="61"/>
        <v>#DIV/0!</v>
      </c>
      <c r="AE15" s="579" t="e">
        <f t="shared" si="61"/>
        <v>#DIV/0!</v>
      </c>
      <c r="AF15" s="578" t="e">
        <f t="shared" si="61"/>
        <v>#DIV/0!</v>
      </c>
      <c r="AG15" s="578" t="e">
        <f t="shared" si="61"/>
        <v>#DIV/0!</v>
      </c>
      <c r="AH15" s="578" t="e">
        <f t="shared" ref="AH15:AJ15" si="62">AVERAGE(AH55:AH58)</f>
        <v>#DIV/0!</v>
      </c>
      <c r="AI15" s="578" t="e">
        <f t="shared" si="62"/>
        <v>#DIV/0!</v>
      </c>
      <c r="AJ15" s="579" t="e">
        <f t="shared" si="62"/>
        <v>#DIV/0!</v>
      </c>
      <c r="AK15" s="579" t="e">
        <f t="shared" ref="AK15" si="63">AVERAGE(AK55:AK58)</f>
        <v>#DIV/0!</v>
      </c>
    </row>
    <row r="16" spans="1:37" s="548" customFormat="1" x14ac:dyDescent="0.2">
      <c r="A16" s="549"/>
      <c r="B16" s="576" t="str">
        <f t="shared" si="14"/>
        <v/>
      </c>
      <c r="C16" s="577" t="e">
        <f t="shared" ref="C16:K16" si="64">AVERAGE(C59:C62)</f>
        <v>#DIV/0!</v>
      </c>
      <c r="D16" s="578" t="e">
        <f t="shared" si="64"/>
        <v>#DIV/0!</v>
      </c>
      <c r="E16" s="578" t="e">
        <f t="shared" si="64"/>
        <v>#DIV/0!</v>
      </c>
      <c r="F16" s="577" t="e">
        <f t="shared" si="64"/>
        <v>#DIV/0!</v>
      </c>
      <c r="G16" s="578" t="e">
        <f t="shared" si="64"/>
        <v>#DIV/0!</v>
      </c>
      <c r="H16" s="579" t="e">
        <f t="shared" si="64"/>
        <v>#DIV/0!</v>
      </c>
      <c r="I16" s="578" t="e">
        <f t="shared" si="64"/>
        <v>#DIV/0!</v>
      </c>
      <c r="J16" s="578" t="e">
        <f t="shared" si="64"/>
        <v>#DIV/0!</v>
      </c>
      <c r="K16" s="579" t="e">
        <f t="shared" si="64"/>
        <v>#DIV/0!</v>
      </c>
      <c r="L16" s="578" t="e">
        <f t="shared" ref="L16:P16" si="65">AVERAGE(L59:L62)</f>
        <v>#DIV/0!</v>
      </c>
      <c r="M16" s="578" t="e">
        <f t="shared" si="65"/>
        <v>#DIV/0!</v>
      </c>
      <c r="N16" s="578" t="e">
        <f t="shared" si="65"/>
        <v>#DIV/0!</v>
      </c>
      <c r="O16" s="578" t="e">
        <f t="shared" si="65"/>
        <v>#DIV/0!</v>
      </c>
      <c r="P16" s="578" t="e">
        <f t="shared" si="65"/>
        <v>#DIV/0!</v>
      </c>
      <c r="Q16" s="577" t="e">
        <f t="shared" ref="Q16:U16" si="66">AVERAGE(Q59:Q62)</f>
        <v>#DIV/0!</v>
      </c>
      <c r="R16" s="578" t="e">
        <f t="shared" si="66"/>
        <v>#DIV/0!</v>
      </c>
      <c r="S16" s="578" t="e">
        <f t="shared" si="66"/>
        <v>#DIV/0!</v>
      </c>
      <c r="T16" s="578" t="e">
        <f t="shared" si="66"/>
        <v>#DIV/0!</v>
      </c>
      <c r="U16" s="579" t="e">
        <f t="shared" si="66"/>
        <v>#DIV/0!</v>
      </c>
      <c r="V16" s="577" t="e">
        <f t="shared" ref="V16:Z16" si="67">AVERAGE(V59:V62)</f>
        <v>#DIV/0!</v>
      </c>
      <c r="W16" s="578" t="e">
        <f t="shared" si="67"/>
        <v>#DIV/0!</v>
      </c>
      <c r="X16" s="578" t="e">
        <f t="shared" si="67"/>
        <v>#DIV/0!</v>
      </c>
      <c r="Y16" s="578" t="e">
        <f t="shared" si="67"/>
        <v>#DIV/0!</v>
      </c>
      <c r="Z16" s="579" t="e">
        <f t="shared" si="67"/>
        <v>#DIV/0!</v>
      </c>
      <c r="AA16" s="577" t="e">
        <f t="shared" ref="AA16:AG16" si="68">AVERAGE(AA59:AA62)</f>
        <v>#DIV/0!</v>
      </c>
      <c r="AB16" s="578" t="e">
        <f t="shared" si="68"/>
        <v>#DIV/0!</v>
      </c>
      <c r="AC16" s="578" t="e">
        <f t="shared" si="68"/>
        <v>#DIV/0!</v>
      </c>
      <c r="AD16" s="578" t="e">
        <f t="shared" si="68"/>
        <v>#DIV/0!</v>
      </c>
      <c r="AE16" s="579" t="e">
        <f t="shared" si="68"/>
        <v>#DIV/0!</v>
      </c>
      <c r="AF16" s="578" t="e">
        <f t="shared" si="68"/>
        <v>#DIV/0!</v>
      </c>
      <c r="AG16" s="578" t="e">
        <f t="shared" si="68"/>
        <v>#DIV/0!</v>
      </c>
      <c r="AH16" s="578" t="e">
        <f t="shared" ref="AH16:AJ16" si="69">AVERAGE(AH59:AH62)</f>
        <v>#DIV/0!</v>
      </c>
      <c r="AI16" s="578" t="e">
        <f t="shared" si="69"/>
        <v>#DIV/0!</v>
      </c>
      <c r="AJ16" s="579" t="e">
        <f t="shared" si="69"/>
        <v>#DIV/0!</v>
      </c>
      <c r="AK16" s="579" t="e">
        <f t="shared" ref="AK16" si="70">AVERAGE(AK59:AK62)</f>
        <v>#N/A</v>
      </c>
    </row>
    <row r="17" spans="1:37" s="548" customFormat="1" x14ac:dyDescent="0.2">
      <c r="B17" s="576" t="str">
        <f t="shared" si="14"/>
        <v/>
      </c>
      <c r="C17" s="577" t="e">
        <f t="shared" ref="C17:K17" si="71">AVERAGE(C63:C66)</f>
        <v>#DIV/0!</v>
      </c>
      <c r="D17" s="578" t="e">
        <f t="shared" si="71"/>
        <v>#DIV/0!</v>
      </c>
      <c r="E17" s="578" t="e">
        <f t="shared" si="71"/>
        <v>#DIV/0!</v>
      </c>
      <c r="F17" s="577" t="e">
        <f t="shared" si="71"/>
        <v>#DIV/0!</v>
      </c>
      <c r="G17" s="578" t="e">
        <f t="shared" si="71"/>
        <v>#DIV/0!</v>
      </c>
      <c r="H17" s="579" t="e">
        <f t="shared" si="71"/>
        <v>#DIV/0!</v>
      </c>
      <c r="I17" s="578" t="e">
        <f t="shared" si="71"/>
        <v>#DIV/0!</v>
      </c>
      <c r="J17" s="578" t="e">
        <f t="shared" si="71"/>
        <v>#DIV/0!</v>
      </c>
      <c r="K17" s="579" t="e">
        <f t="shared" si="71"/>
        <v>#DIV/0!</v>
      </c>
      <c r="L17" s="578" t="e">
        <f t="shared" ref="L17:P17" si="72">AVERAGE(L63:L66)</f>
        <v>#DIV/0!</v>
      </c>
      <c r="M17" s="578" t="e">
        <f t="shared" si="72"/>
        <v>#DIV/0!</v>
      </c>
      <c r="N17" s="578" t="e">
        <f t="shared" si="72"/>
        <v>#DIV/0!</v>
      </c>
      <c r="O17" s="578" t="e">
        <f t="shared" si="72"/>
        <v>#DIV/0!</v>
      </c>
      <c r="P17" s="578" t="e">
        <f t="shared" si="72"/>
        <v>#DIV/0!</v>
      </c>
      <c r="Q17" s="577" t="e">
        <f t="shared" ref="Q17:U17" si="73">AVERAGE(Q63:Q66)</f>
        <v>#DIV/0!</v>
      </c>
      <c r="R17" s="578" t="e">
        <f t="shared" si="73"/>
        <v>#DIV/0!</v>
      </c>
      <c r="S17" s="578" t="e">
        <f t="shared" si="73"/>
        <v>#DIV/0!</v>
      </c>
      <c r="T17" s="578" t="e">
        <f t="shared" si="73"/>
        <v>#DIV/0!</v>
      </c>
      <c r="U17" s="579" t="e">
        <f t="shared" si="73"/>
        <v>#DIV/0!</v>
      </c>
      <c r="V17" s="577" t="e">
        <f t="shared" ref="V17:Z17" si="74">AVERAGE(V63:V66)</f>
        <v>#DIV/0!</v>
      </c>
      <c r="W17" s="578" t="e">
        <f t="shared" si="74"/>
        <v>#DIV/0!</v>
      </c>
      <c r="X17" s="578" t="e">
        <f t="shared" si="74"/>
        <v>#DIV/0!</v>
      </c>
      <c r="Y17" s="578" t="e">
        <f t="shared" si="74"/>
        <v>#DIV/0!</v>
      </c>
      <c r="Z17" s="579" t="e">
        <f t="shared" si="74"/>
        <v>#DIV/0!</v>
      </c>
      <c r="AA17" s="577" t="e">
        <f t="shared" ref="AA17:AG17" si="75">AVERAGE(AA63:AA66)</f>
        <v>#DIV/0!</v>
      </c>
      <c r="AB17" s="578" t="e">
        <f t="shared" si="75"/>
        <v>#DIV/0!</v>
      </c>
      <c r="AC17" s="578" t="e">
        <f t="shared" si="75"/>
        <v>#DIV/0!</v>
      </c>
      <c r="AD17" s="578" t="e">
        <f t="shared" si="75"/>
        <v>#DIV/0!</v>
      </c>
      <c r="AE17" s="579" t="e">
        <f t="shared" si="75"/>
        <v>#DIV/0!</v>
      </c>
      <c r="AF17" s="578" t="e">
        <f t="shared" si="75"/>
        <v>#DIV/0!</v>
      </c>
      <c r="AG17" s="578" t="e">
        <f t="shared" si="75"/>
        <v>#DIV/0!</v>
      </c>
      <c r="AH17" s="578" t="e">
        <f t="shared" ref="AH17:AJ17" si="76">AVERAGE(AH63:AH66)</f>
        <v>#DIV/0!</v>
      </c>
      <c r="AI17" s="578" t="e">
        <f t="shared" si="76"/>
        <v>#DIV/0!</v>
      </c>
      <c r="AJ17" s="579" t="e">
        <f t="shared" si="76"/>
        <v>#DIV/0!</v>
      </c>
      <c r="AK17" s="579" t="e">
        <f t="shared" ref="AK17" si="77">AVERAGE(AK63:AK66)</f>
        <v>#N/A</v>
      </c>
    </row>
    <row r="18" spans="1:37" s="548" customFormat="1" x14ac:dyDescent="0.2">
      <c r="B18" s="576" t="str">
        <f t="shared" si="14"/>
        <v/>
      </c>
      <c r="C18" s="577" t="e">
        <f t="shared" ref="C18:K18" si="78">AVERAGE(C67:C70)</f>
        <v>#DIV/0!</v>
      </c>
      <c r="D18" s="578" t="e">
        <f t="shared" si="78"/>
        <v>#DIV/0!</v>
      </c>
      <c r="E18" s="578" t="e">
        <f t="shared" si="78"/>
        <v>#DIV/0!</v>
      </c>
      <c r="F18" s="577" t="e">
        <f t="shared" si="78"/>
        <v>#DIV/0!</v>
      </c>
      <c r="G18" s="578" t="e">
        <f t="shared" si="78"/>
        <v>#DIV/0!</v>
      </c>
      <c r="H18" s="579" t="e">
        <f t="shared" si="78"/>
        <v>#DIV/0!</v>
      </c>
      <c r="I18" s="578" t="e">
        <f t="shared" si="78"/>
        <v>#DIV/0!</v>
      </c>
      <c r="J18" s="578" t="e">
        <f t="shared" si="78"/>
        <v>#DIV/0!</v>
      </c>
      <c r="K18" s="579" t="e">
        <f t="shared" si="78"/>
        <v>#DIV/0!</v>
      </c>
      <c r="L18" s="578" t="e">
        <f t="shared" ref="L18:P18" si="79">AVERAGE(L67:L70)</f>
        <v>#DIV/0!</v>
      </c>
      <c r="M18" s="578" t="e">
        <f t="shared" si="79"/>
        <v>#DIV/0!</v>
      </c>
      <c r="N18" s="578" t="e">
        <f t="shared" si="79"/>
        <v>#DIV/0!</v>
      </c>
      <c r="O18" s="578" t="e">
        <f t="shared" si="79"/>
        <v>#DIV/0!</v>
      </c>
      <c r="P18" s="578" t="e">
        <f t="shared" si="79"/>
        <v>#DIV/0!</v>
      </c>
      <c r="Q18" s="577" t="e">
        <f t="shared" ref="Q18:U18" si="80">AVERAGE(Q67:Q70)</f>
        <v>#DIV/0!</v>
      </c>
      <c r="R18" s="578" t="e">
        <f t="shared" si="80"/>
        <v>#DIV/0!</v>
      </c>
      <c r="S18" s="578" t="e">
        <f t="shared" si="80"/>
        <v>#DIV/0!</v>
      </c>
      <c r="T18" s="578" t="e">
        <f t="shared" si="80"/>
        <v>#DIV/0!</v>
      </c>
      <c r="U18" s="579" t="e">
        <f t="shared" si="80"/>
        <v>#DIV/0!</v>
      </c>
      <c r="V18" s="577" t="e">
        <f t="shared" ref="V18:Z18" si="81">AVERAGE(V67:V70)</f>
        <v>#DIV/0!</v>
      </c>
      <c r="W18" s="578" t="e">
        <f t="shared" si="81"/>
        <v>#DIV/0!</v>
      </c>
      <c r="X18" s="578" t="e">
        <f t="shared" si="81"/>
        <v>#DIV/0!</v>
      </c>
      <c r="Y18" s="578" t="e">
        <f t="shared" si="81"/>
        <v>#DIV/0!</v>
      </c>
      <c r="Z18" s="579" t="e">
        <f t="shared" si="81"/>
        <v>#DIV/0!</v>
      </c>
      <c r="AA18" s="577" t="e">
        <f t="shared" ref="AA18:AG18" si="82">AVERAGE(AA67:AA70)</f>
        <v>#DIV/0!</v>
      </c>
      <c r="AB18" s="578" t="e">
        <f t="shared" si="82"/>
        <v>#DIV/0!</v>
      </c>
      <c r="AC18" s="578" t="e">
        <f t="shared" si="82"/>
        <v>#DIV/0!</v>
      </c>
      <c r="AD18" s="578" t="e">
        <f t="shared" si="82"/>
        <v>#DIV/0!</v>
      </c>
      <c r="AE18" s="579" t="e">
        <f t="shared" si="82"/>
        <v>#DIV/0!</v>
      </c>
      <c r="AF18" s="578" t="e">
        <f t="shared" si="82"/>
        <v>#DIV/0!</v>
      </c>
      <c r="AG18" s="578" t="e">
        <f t="shared" si="82"/>
        <v>#DIV/0!</v>
      </c>
      <c r="AH18" s="578" t="e">
        <f t="shared" ref="AH18:AJ18" si="83">AVERAGE(AH67:AH70)</f>
        <v>#DIV/0!</v>
      </c>
      <c r="AI18" s="578" t="e">
        <f t="shared" si="83"/>
        <v>#DIV/0!</v>
      </c>
      <c r="AJ18" s="579" t="e">
        <f t="shared" si="83"/>
        <v>#DIV/0!</v>
      </c>
      <c r="AK18" s="579" t="e">
        <f t="shared" ref="AK18" si="84">AVERAGE(AK67:AK70)</f>
        <v>#N/A</v>
      </c>
    </row>
    <row r="19" spans="1:37" s="548" customFormat="1" x14ac:dyDescent="0.2">
      <c r="B19" s="576" t="str">
        <f t="shared" si="14"/>
        <v/>
      </c>
      <c r="C19" s="577" t="e">
        <f t="shared" ref="C19:K19" si="85">AVERAGE(C71:C74)</f>
        <v>#DIV/0!</v>
      </c>
      <c r="D19" s="578" t="e">
        <f t="shared" si="85"/>
        <v>#DIV/0!</v>
      </c>
      <c r="E19" s="578" t="e">
        <f t="shared" si="85"/>
        <v>#DIV/0!</v>
      </c>
      <c r="F19" s="577" t="e">
        <f t="shared" si="85"/>
        <v>#DIV/0!</v>
      </c>
      <c r="G19" s="578" t="e">
        <f t="shared" si="85"/>
        <v>#DIV/0!</v>
      </c>
      <c r="H19" s="579" t="e">
        <f t="shared" si="85"/>
        <v>#DIV/0!</v>
      </c>
      <c r="I19" s="578" t="e">
        <f t="shared" si="85"/>
        <v>#DIV/0!</v>
      </c>
      <c r="J19" s="578" t="e">
        <f t="shared" si="85"/>
        <v>#DIV/0!</v>
      </c>
      <c r="K19" s="579" t="e">
        <f t="shared" si="85"/>
        <v>#DIV/0!</v>
      </c>
      <c r="L19" s="578" t="e">
        <f t="shared" ref="L19:P19" si="86">AVERAGE(L71:L74)</f>
        <v>#DIV/0!</v>
      </c>
      <c r="M19" s="578" t="e">
        <f t="shared" si="86"/>
        <v>#DIV/0!</v>
      </c>
      <c r="N19" s="578" t="e">
        <f t="shared" si="86"/>
        <v>#DIV/0!</v>
      </c>
      <c r="O19" s="578" t="e">
        <f t="shared" si="86"/>
        <v>#DIV/0!</v>
      </c>
      <c r="P19" s="578" t="e">
        <f t="shared" si="86"/>
        <v>#DIV/0!</v>
      </c>
      <c r="Q19" s="577" t="e">
        <f t="shared" ref="Q19:U19" si="87">AVERAGE(Q71:Q74)</f>
        <v>#DIV/0!</v>
      </c>
      <c r="R19" s="578" t="e">
        <f t="shared" si="87"/>
        <v>#DIV/0!</v>
      </c>
      <c r="S19" s="578" t="e">
        <f t="shared" si="87"/>
        <v>#DIV/0!</v>
      </c>
      <c r="T19" s="578" t="e">
        <f t="shared" si="87"/>
        <v>#DIV/0!</v>
      </c>
      <c r="U19" s="579" t="e">
        <f t="shared" si="87"/>
        <v>#DIV/0!</v>
      </c>
      <c r="V19" s="577" t="e">
        <f t="shared" ref="V19:Z19" si="88">AVERAGE(V71:V74)</f>
        <v>#DIV/0!</v>
      </c>
      <c r="W19" s="578" t="e">
        <f t="shared" si="88"/>
        <v>#DIV/0!</v>
      </c>
      <c r="X19" s="578" t="e">
        <f t="shared" si="88"/>
        <v>#DIV/0!</v>
      </c>
      <c r="Y19" s="578" t="e">
        <f t="shared" si="88"/>
        <v>#DIV/0!</v>
      </c>
      <c r="Z19" s="579" t="e">
        <f t="shared" si="88"/>
        <v>#DIV/0!</v>
      </c>
      <c r="AA19" s="577" t="e">
        <f t="shared" ref="AA19:AG19" si="89">AVERAGE(AA71:AA74)</f>
        <v>#DIV/0!</v>
      </c>
      <c r="AB19" s="578" t="e">
        <f t="shared" si="89"/>
        <v>#DIV/0!</v>
      </c>
      <c r="AC19" s="578" t="e">
        <f t="shared" si="89"/>
        <v>#DIV/0!</v>
      </c>
      <c r="AD19" s="578" t="e">
        <f t="shared" si="89"/>
        <v>#DIV/0!</v>
      </c>
      <c r="AE19" s="579" t="e">
        <f t="shared" si="89"/>
        <v>#DIV/0!</v>
      </c>
      <c r="AF19" s="578" t="e">
        <f t="shared" si="89"/>
        <v>#DIV/0!</v>
      </c>
      <c r="AG19" s="578" t="e">
        <f t="shared" si="89"/>
        <v>#DIV/0!</v>
      </c>
      <c r="AH19" s="578" t="e">
        <f t="shared" ref="AH19:AJ19" si="90">AVERAGE(AH71:AH74)</f>
        <v>#DIV/0!</v>
      </c>
      <c r="AI19" s="578" t="e">
        <f t="shared" si="90"/>
        <v>#DIV/0!</v>
      </c>
      <c r="AJ19" s="579" t="e">
        <f t="shared" si="90"/>
        <v>#DIV/0!</v>
      </c>
      <c r="AK19" s="579" t="e">
        <f t="shared" ref="AK19" si="91">AVERAGE(AK71:AK74)</f>
        <v>#N/A</v>
      </c>
    </row>
    <row r="20" spans="1:37" s="548" customFormat="1" ht="12" customHeight="1" x14ac:dyDescent="0.2">
      <c r="B20" s="576" t="str">
        <f t="shared" si="14"/>
        <v/>
      </c>
      <c r="C20" s="577" t="e">
        <f t="shared" ref="C20:K20" si="92">AVERAGE(C75:C78)</f>
        <v>#DIV/0!</v>
      </c>
      <c r="D20" s="578" t="e">
        <f t="shared" si="92"/>
        <v>#DIV/0!</v>
      </c>
      <c r="E20" s="578" t="e">
        <f t="shared" si="92"/>
        <v>#DIV/0!</v>
      </c>
      <c r="F20" s="577" t="e">
        <f t="shared" si="92"/>
        <v>#DIV/0!</v>
      </c>
      <c r="G20" s="578" t="e">
        <f t="shared" si="92"/>
        <v>#DIV/0!</v>
      </c>
      <c r="H20" s="579" t="e">
        <f t="shared" si="92"/>
        <v>#DIV/0!</v>
      </c>
      <c r="I20" s="578" t="e">
        <f t="shared" si="92"/>
        <v>#DIV/0!</v>
      </c>
      <c r="J20" s="578" t="e">
        <f t="shared" si="92"/>
        <v>#DIV/0!</v>
      </c>
      <c r="K20" s="579" t="e">
        <f t="shared" si="92"/>
        <v>#DIV/0!</v>
      </c>
      <c r="L20" s="578" t="e">
        <f t="shared" ref="L20:P20" si="93">AVERAGE(L75:L78)</f>
        <v>#DIV/0!</v>
      </c>
      <c r="M20" s="578" t="e">
        <f t="shared" si="93"/>
        <v>#DIV/0!</v>
      </c>
      <c r="N20" s="578" t="e">
        <f t="shared" si="93"/>
        <v>#DIV/0!</v>
      </c>
      <c r="O20" s="578" t="e">
        <f t="shared" si="93"/>
        <v>#DIV/0!</v>
      </c>
      <c r="P20" s="578" t="e">
        <f t="shared" si="93"/>
        <v>#DIV/0!</v>
      </c>
      <c r="Q20" s="577" t="e">
        <f t="shared" ref="Q20:U20" si="94">AVERAGE(Q75:Q78)</f>
        <v>#DIV/0!</v>
      </c>
      <c r="R20" s="578" t="e">
        <f t="shared" si="94"/>
        <v>#DIV/0!</v>
      </c>
      <c r="S20" s="578" t="e">
        <f t="shared" si="94"/>
        <v>#DIV/0!</v>
      </c>
      <c r="T20" s="578" t="e">
        <f t="shared" si="94"/>
        <v>#DIV/0!</v>
      </c>
      <c r="U20" s="579" t="e">
        <f t="shared" si="94"/>
        <v>#DIV/0!</v>
      </c>
      <c r="V20" s="577" t="e">
        <f t="shared" ref="V20:Z20" si="95">AVERAGE(V75:V78)</f>
        <v>#DIV/0!</v>
      </c>
      <c r="W20" s="578" t="e">
        <f t="shared" si="95"/>
        <v>#DIV/0!</v>
      </c>
      <c r="X20" s="578" t="e">
        <f t="shared" si="95"/>
        <v>#DIV/0!</v>
      </c>
      <c r="Y20" s="578" t="e">
        <f t="shared" si="95"/>
        <v>#DIV/0!</v>
      </c>
      <c r="Z20" s="579" t="e">
        <f t="shared" si="95"/>
        <v>#DIV/0!</v>
      </c>
      <c r="AA20" s="577" t="e">
        <f t="shared" ref="AA20:AG20" si="96">AVERAGE(AA75:AA78)</f>
        <v>#DIV/0!</v>
      </c>
      <c r="AB20" s="578" t="e">
        <f t="shared" si="96"/>
        <v>#DIV/0!</v>
      </c>
      <c r="AC20" s="578" t="e">
        <f t="shared" si="96"/>
        <v>#DIV/0!</v>
      </c>
      <c r="AD20" s="578" t="e">
        <f t="shared" si="96"/>
        <v>#DIV/0!</v>
      </c>
      <c r="AE20" s="579" t="e">
        <f t="shared" si="96"/>
        <v>#DIV/0!</v>
      </c>
      <c r="AF20" s="578" t="e">
        <f t="shared" si="96"/>
        <v>#DIV/0!</v>
      </c>
      <c r="AG20" s="578" t="e">
        <f t="shared" si="96"/>
        <v>#DIV/0!</v>
      </c>
      <c r="AH20" s="578" t="e">
        <f t="shared" ref="AH20:AJ20" si="97">AVERAGE(AH75:AH78)</f>
        <v>#DIV/0!</v>
      </c>
      <c r="AI20" s="578" t="e">
        <f t="shared" si="97"/>
        <v>#DIV/0!</v>
      </c>
      <c r="AJ20" s="579" t="e">
        <f t="shared" si="97"/>
        <v>#DIV/0!</v>
      </c>
      <c r="AK20" s="579" t="e">
        <f t="shared" ref="AK20" si="98">AVERAGE(AK75:AK78)</f>
        <v>#N/A</v>
      </c>
    </row>
    <row r="21" spans="1:37" s="548" customFormat="1" x14ac:dyDescent="0.2">
      <c r="B21" s="576" t="str">
        <f t="shared" si="14"/>
        <v/>
      </c>
      <c r="C21" s="577" t="e">
        <f t="shared" ref="C21:K21" si="99">AVERAGE(C79:C82)</f>
        <v>#DIV/0!</v>
      </c>
      <c r="D21" s="578" t="e">
        <f t="shared" si="99"/>
        <v>#DIV/0!</v>
      </c>
      <c r="E21" s="578" t="e">
        <f t="shared" si="99"/>
        <v>#DIV/0!</v>
      </c>
      <c r="F21" s="577" t="e">
        <f t="shared" si="99"/>
        <v>#DIV/0!</v>
      </c>
      <c r="G21" s="578" t="e">
        <f t="shared" si="99"/>
        <v>#DIV/0!</v>
      </c>
      <c r="H21" s="579" t="e">
        <f t="shared" si="99"/>
        <v>#DIV/0!</v>
      </c>
      <c r="I21" s="578" t="e">
        <f t="shared" si="99"/>
        <v>#DIV/0!</v>
      </c>
      <c r="J21" s="578" t="e">
        <f t="shared" si="99"/>
        <v>#DIV/0!</v>
      </c>
      <c r="K21" s="579" t="e">
        <f t="shared" si="99"/>
        <v>#DIV/0!</v>
      </c>
      <c r="L21" s="578" t="e">
        <f t="shared" ref="L21:P21" si="100">AVERAGE(L79:L82)</f>
        <v>#DIV/0!</v>
      </c>
      <c r="M21" s="578" t="e">
        <f t="shared" si="100"/>
        <v>#DIV/0!</v>
      </c>
      <c r="N21" s="578" t="e">
        <f t="shared" si="100"/>
        <v>#DIV/0!</v>
      </c>
      <c r="O21" s="578" t="e">
        <f t="shared" si="100"/>
        <v>#DIV/0!</v>
      </c>
      <c r="P21" s="578" t="e">
        <f t="shared" si="100"/>
        <v>#DIV/0!</v>
      </c>
      <c r="Q21" s="577" t="e">
        <f t="shared" ref="Q21:U21" si="101">AVERAGE(Q79:Q82)</f>
        <v>#DIV/0!</v>
      </c>
      <c r="R21" s="578" t="e">
        <f t="shared" si="101"/>
        <v>#DIV/0!</v>
      </c>
      <c r="S21" s="578" t="e">
        <f t="shared" si="101"/>
        <v>#DIV/0!</v>
      </c>
      <c r="T21" s="578" t="e">
        <f t="shared" si="101"/>
        <v>#DIV/0!</v>
      </c>
      <c r="U21" s="579" t="e">
        <f t="shared" si="101"/>
        <v>#DIV/0!</v>
      </c>
      <c r="V21" s="577" t="e">
        <f t="shared" ref="V21:Z21" si="102">AVERAGE(V79:V82)</f>
        <v>#DIV/0!</v>
      </c>
      <c r="W21" s="578" t="e">
        <f t="shared" si="102"/>
        <v>#DIV/0!</v>
      </c>
      <c r="X21" s="578" t="e">
        <f t="shared" si="102"/>
        <v>#DIV/0!</v>
      </c>
      <c r="Y21" s="578" t="e">
        <f t="shared" si="102"/>
        <v>#DIV/0!</v>
      </c>
      <c r="Z21" s="579" t="e">
        <f t="shared" si="102"/>
        <v>#DIV/0!</v>
      </c>
      <c r="AA21" s="577" t="e">
        <f t="shared" ref="AA21:AG21" si="103">AVERAGE(AA79:AA82)</f>
        <v>#DIV/0!</v>
      </c>
      <c r="AB21" s="578" t="e">
        <f t="shared" si="103"/>
        <v>#DIV/0!</v>
      </c>
      <c r="AC21" s="578" t="e">
        <f t="shared" si="103"/>
        <v>#DIV/0!</v>
      </c>
      <c r="AD21" s="578" t="e">
        <f t="shared" si="103"/>
        <v>#DIV/0!</v>
      </c>
      <c r="AE21" s="579" t="e">
        <f t="shared" si="103"/>
        <v>#DIV/0!</v>
      </c>
      <c r="AF21" s="578" t="e">
        <f t="shared" si="103"/>
        <v>#DIV/0!</v>
      </c>
      <c r="AG21" s="578" t="e">
        <f t="shared" si="103"/>
        <v>#DIV/0!</v>
      </c>
      <c r="AH21" s="578" t="e">
        <f t="shared" ref="AH21:AJ21" si="104">AVERAGE(AH79:AH82)</f>
        <v>#DIV/0!</v>
      </c>
      <c r="AI21" s="578" t="e">
        <f t="shared" si="104"/>
        <v>#DIV/0!</v>
      </c>
      <c r="AJ21" s="579" t="e">
        <f t="shared" si="104"/>
        <v>#DIV/0!</v>
      </c>
      <c r="AK21" s="579" t="e">
        <f t="shared" ref="AK21" si="105">AVERAGE(AK79:AK82)</f>
        <v>#N/A</v>
      </c>
    </row>
    <row r="22" spans="1:37" s="548" customFormat="1" x14ac:dyDescent="0.2">
      <c r="B22" s="576" t="str">
        <f t="shared" si="14"/>
        <v/>
      </c>
      <c r="C22" s="577" t="e">
        <f t="shared" ref="C22:K22" si="106">AVERAGE(C83:C86)</f>
        <v>#DIV/0!</v>
      </c>
      <c r="D22" s="578" t="e">
        <f t="shared" si="106"/>
        <v>#DIV/0!</v>
      </c>
      <c r="E22" s="578" t="e">
        <f t="shared" si="106"/>
        <v>#DIV/0!</v>
      </c>
      <c r="F22" s="577" t="e">
        <f t="shared" si="106"/>
        <v>#DIV/0!</v>
      </c>
      <c r="G22" s="578" t="e">
        <f t="shared" si="106"/>
        <v>#DIV/0!</v>
      </c>
      <c r="H22" s="579" t="e">
        <f t="shared" si="106"/>
        <v>#DIV/0!</v>
      </c>
      <c r="I22" s="578" t="e">
        <f t="shared" si="106"/>
        <v>#DIV/0!</v>
      </c>
      <c r="J22" s="578" t="e">
        <f t="shared" si="106"/>
        <v>#DIV/0!</v>
      </c>
      <c r="K22" s="579" t="e">
        <f t="shared" si="106"/>
        <v>#DIV/0!</v>
      </c>
      <c r="L22" s="578" t="e">
        <f t="shared" ref="L22:P22" si="107">AVERAGE(L83:L86)</f>
        <v>#DIV/0!</v>
      </c>
      <c r="M22" s="578" t="e">
        <f t="shared" si="107"/>
        <v>#DIV/0!</v>
      </c>
      <c r="N22" s="578" t="e">
        <f t="shared" si="107"/>
        <v>#DIV/0!</v>
      </c>
      <c r="O22" s="578" t="e">
        <f t="shared" si="107"/>
        <v>#DIV/0!</v>
      </c>
      <c r="P22" s="578" t="e">
        <f t="shared" si="107"/>
        <v>#DIV/0!</v>
      </c>
      <c r="Q22" s="577" t="e">
        <f t="shared" ref="Q22:U22" si="108">AVERAGE(Q83:Q86)</f>
        <v>#DIV/0!</v>
      </c>
      <c r="R22" s="578" t="e">
        <f t="shared" si="108"/>
        <v>#DIV/0!</v>
      </c>
      <c r="S22" s="578" t="e">
        <f t="shared" si="108"/>
        <v>#DIV/0!</v>
      </c>
      <c r="T22" s="578" t="e">
        <f t="shared" si="108"/>
        <v>#DIV/0!</v>
      </c>
      <c r="U22" s="579" t="e">
        <f t="shared" si="108"/>
        <v>#DIV/0!</v>
      </c>
      <c r="V22" s="577" t="e">
        <f t="shared" ref="V22:Z22" si="109">AVERAGE(V83:V86)</f>
        <v>#DIV/0!</v>
      </c>
      <c r="W22" s="578" t="e">
        <f t="shared" si="109"/>
        <v>#DIV/0!</v>
      </c>
      <c r="X22" s="578" t="e">
        <f t="shared" si="109"/>
        <v>#DIV/0!</v>
      </c>
      <c r="Y22" s="578" t="e">
        <f t="shared" si="109"/>
        <v>#DIV/0!</v>
      </c>
      <c r="Z22" s="579" t="e">
        <f t="shared" si="109"/>
        <v>#DIV/0!</v>
      </c>
      <c r="AA22" s="577" t="e">
        <f t="shared" ref="AA22:AG22" si="110">AVERAGE(AA83:AA86)</f>
        <v>#DIV/0!</v>
      </c>
      <c r="AB22" s="578" t="e">
        <f t="shared" si="110"/>
        <v>#DIV/0!</v>
      </c>
      <c r="AC22" s="578" t="e">
        <f t="shared" si="110"/>
        <v>#DIV/0!</v>
      </c>
      <c r="AD22" s="578" t="e">
        <f t="shared" si="110"/>
        <v>#DIV/0!</v>
      </c>
      <c r="AE22" s="579" t="e">
        <f t="shared" si="110"/>
        <v>#DIV/0!</v>
      </c>
      <c r="AF22" s="578" t="e">
        <f t="shared" si="110"/>
        <v>#DIV/0!</v>
      </c>
      <c r="AG22" s="578" t="e">
        <f t="shared" si="110"/>
        <v>#DIV/0!</v>
      </c>
      <c r="AH22" s="578" t="e">
        <f t="shared" ref="AH22:AJ22" si="111">AVERAGE(AH83:AH86)</f>
        <v>#DIV/0!</v>
      </c>
      <c r="AI22" s="578" t="e">
        <f t="shared" si="111"/>
        <v>#DIV/0!</v>
      </c>
      <c r="AJ22" s="579" t="e">
        <f t="shared" si="111"/>
        <v>#DIV/0!</v>
      </c>
      <c r="AK22" s="579" t="e">
        <f t="shared" ref="AK22" si="112">AVERAGE(AK83:AK86)</f>
        <v>#N/A</v>
      </c>
    </row>
    <row r="23" spans="1:37" s="548" customFormat="1" x14ac:dyDescent="0.2">
      <c r="B23" s="576" t="str">
        <f t="shared" si="14"/>
        <v/>
      </c>
      <c r="C23" s="577" t="e">
        <f t="shared" ref="C23:K23" si="113">AVERAGE(C87:C90)</f>
        <v>#DIV/0!</v>
      </c>
      <c r="D23" s="578" t="e">
        <f t="shared" si="113"/>
        <v>#DIV/0!</v>
      </c>
      <c r="E23" s="578" t="e">
        <f t="shared" si="113"/>
        <v>#DIV/0!</v>
      </c>
      <c r="F23" s="577" t="e">
        <f t="shared" si="113"/>
        <v>#DIV/0!</v>
      </c>
      <c r="G23" s="578" t="e">
        <f t="shared" si="113"/>
        <v>#DIV/0!</v>
      </c>
      <c r="H23" s="579" t="e">
        <f t="shared" si="113"/>
        <v>#DIV/0!</v>
      </c>
      <c r="I23" s="578" t="e">
        <f t="shared" si="113"/>
        <v>#DIV/0!</v>
      </c>
      <c r="J23" s="578" t="e">
        <f t="shared" si="113"/>
        <v>#DIV/0!</v>
      </c>
      <c r="K23" s="579" t="e">
        <f t="shared" si="113"/>
        <v>#DIV/0!</v>
      </c>
      <c r="L23" s="578" t="e">
        <f t="shared" ref="L23:P23" si="114">AVERAGE(L87:L90)</f>
        <v>#DIV/0!</v>
      </c>
      <c r="M23" s="578" t="e">
        <f t="shared" si="114"/>
        <v>#DIV/0!</v>
      </c>
      <c r="N23" s="578" t="e">
        <f t="shared" si="114"/>
        <v>#DIV/0!</v>
      </c>
      <c r="O23" s="578" t="e">
        <f t="shared" si="114"/>
        <v>#DIV/0!</v>
      </c>
      <c r="P23" s="578" t="e">
        <f t="shared" si="114"/>
        <v>#DIV/0!</v>
      </c>
      <c r="Q23" s="577" t="e">
        <f t="shared" ref="Q23:U23" si="115">AVERAGE(Q87:Q90)</f>
        <v>#DIV/0!</v>
      </c>
      <c r="R23" s="578" t="e">
        <f t="shared" si="115"/>
        <v>#DIV/0!</v>
      </c>
      <c r="S23" s="578" t="e">
        <f t="shared" si="115"/>
        <v>#DIV/0!</v>
      </c>
      <c r="T23" s="578" t="e">
        <f t="shared" si="115"/>
        <v>#DIV/0!</v>
      </c>
      <c r="U23" s="579" t="e">
        <f t="shared" si="115"/>
        <v>#DIV/0!</v>
      </c>
      <c r="V23" s="577" t="e">
        <f t="shared" ref="V23:Z23" si="116">AVERAGE(V87:V90)</f>
        <v>#DIV/0!</v>
      </c>
      <c r="W23" s="578" t="e">
        <f t="shared" si="116"/>
        <v>#DIV/0!</v>
      </c>
      <c r="X23" s="578" t="e">
        <f t="shared" si="116"/>
        <v>#DIV/0!</v>
      </c>
      <c r="Y23" s="578" t="e">
        <f t="shared" si="116"/>
        <v>#DIV/0!</v>
      </c>
      <c r="Z23" s="579" t="e">
        <f t="shared" si="116"/>
        <v>#DIV/0!</v>
      </c>
      <c r="AA23" s="577" t="e">
        <f t="shared" ref="AA23:AG23" si="117">AVERAGE(AA87:AA90)</f>
        <v>#DIV/0!</v>
      </c>
      <c r="AB23" s="578" t="e">
        <f t="shared" si="117"/>
        <v>#DIV/0!</v>
      </c>
      <c r="AC23" s="578" t="e">
        <f t="shared" si="117"/>
        <v>#DIV/0!</v>
      </c>
      <c r="AD23" s="578" t="e">
        <f t="shared" si="117"/>
        <v>#DIV/0!</v>
      </c>
      <c r="AE23" s="579" t="e">
        <f t="shared" si="117"/>
        <v>#DIV/0!</v>
      </c>
      <c r="AF23" s="578" t="e">
        <f t="shared" si="117"/>
        <v>#DIV/0!</v>
      </c>
      <c r="AG23" s="578" t="e">
        <f t="shared" si="117"/>
        <v>#DIV/0!</v>
      </c>
      <c r="AH23" s="578" t="e">
        <f t="shared" ref="AH23:AJ23" si="118">AVERAGE(AH87:AH90)</f>
        <v>#DIV/0!</v>
      </c>
      <c r="AI23" s="578" t="e">
        <f t="shared" si="118"/>
        <v>#DIV/0!</v>
      </c>
      <c r="AJ23" s="579" t="e">
        <f t="shared" si="118"/>
        <v>#DIV/0!</v>
      </c>
      <c r="AK23" s="579" t="e">
        <f t="shared" ref="AK23" si="119">AVERAGE(AK87:AK90)</f>
        <v>#N/A</v>
      </c>
    </row>
    <row r="24" spans="1:37" s="548" customFormat="1" x14ac:dyDescent="0.2">
      <c r="B24" s="576" t="str">
        <f t="shared" si="14"/>
        <v/>
      </c>
      <c r="C24" s="577" t="e">
        <f t="shared" ref="C24:R24" si="120">AVERAGE(C91:C94)</f>
        <v>#DIV/0!</v>
      </c>
      <c r="D24" s="578" t="e">
        <f t="shared" si="120"/>
        <v>#DIV/0!</v>
      </c>
      <c r="E24" s="579" t="e">
        <f t="shared" si="120"/>
        <v>#DIV/0!</v>
      </c>
      <c r="F24" s="578" t="e">
        <f t="shared" si="120"/>
        <v>#DIV/0!</v>
      </c>
      <c r="G24" s="578" t="e">
        <f t="shared" si="120"/>
        <v>#DIV/0!</v>
      </c>
      <c r="H24" s="579" t="e">
        <f t="shared" si="120"/>
        <v>#DIV/0!</v>
      </c>
      <c r="I24" s="578" t="e">
        <f t="shared" si="120"/>
        <v>#DIV/0!</v>
      </c>
      <c r="J24" s="578" t="e">
        <f t="shared" si="120"/>
        <v>#DIV/0!</v>
      </c>
      <c r="K24" s="579" t="e">
        <f t="shared" si="120"/>
        <v>#DIV/0!</v>
      </c>
      <c r="L24" s="578" t="e">
        <f t="shared" si="120"/>
        <v>#DIV/0!</v>
      </c>
      <c r="M24" s="578" t="e">
        <f t="shared" si="120"/>
        <v>#DIV/0!</v>
      </c>
      <c r="N24" s="578" t="e">
        <f t="shared" si="120"/>
        <v>#DIV/0!</v>
      </c>
      <c r="O24" s="578" t="e">
        <f t="shared" si="120"/>
        <v>#DIV/0!</v>
      </c>
      <c r="P24" s="579" t="e">
        <f t="shared" si="120"/>
        <v>#DIV/0!</v>
      </c>
      <c r="Q24" s="578" t="e">
        <f t="shared" si="120"/>
        <v>#DIV/0!</v>
      </c>
      <c r="R24" s="578" t="e">
        <f t="shared" si="120"/>
        <v>#DIV/0!</v>
      </c>
      <c r="S24" s="578" t="e">
        <f t="shared" ref="S24:AK24" si="121">AVERAGE(S91:S94)</f>
        <v>#DIV/0!</v>
      </c>
      <c r="T24" s="578" t="e">
        <f t="shared" si="121"/>
        <v>#DIV/0!</v>
      </c>
      <c r="U24" s="578" t="e">
        <f t="shared" si="121"/>
        <v>#DIV/0!</v>
      </c>
      <c r="V24" s="578" t="e">
        <f t="shared" si="121"/>
        <v>#DIV/0!</v>
      </c>
      <c r="W24" s="578" t="e">
        <f t="shared" si="121"/>
        <v>#DIV/0!</v>
      </c>
      <c r="X24" s="578" t="e">
        <f t="shared" si="121"/>
        <v>#DIV/0!</v>
      </c>
      <c r="Y24" s="578" t="e">
        <f t="shared" si="121"/>
        <v>#DIV/0!</v>
      </c>
      <c r="Z24" s="579" t="e">
        <f t="shared" si="121"/>
        <v>#DIV/0!</v>
      </c>
      <c r="AA24" s="578" t="e">
        <f t="shared" si="121"/>
        <v>#DIV/0!</v>
      </c>
      <c r="AB24" s="578" t="e">
        <f t="shared" si="121"/>
        <v>#DIV/0!</v>
      </c>
      <c r="AC24" s="578" t="e">
        <f t="shared" si="121"/>
        <v>#DIV/0!</v>
      </c>
      <c r="AD24" s="578" t="e">
        <f t="shared" si="121"/>
        <v>#DIV/0!</v>
      </c>
      <c r="AE24" s="579" t="e">
        <f t="shared" si="121"/>
        <v>#DIV/0!</v>
      </c>
      <c r="AF24" s="578" t="e">
        <f t="shared" si="121"/>
        <v>#DIV/0!</v>
      </c>
      <c r="AG24" s="578" t="e">
        <f t="shared" si="121"/>
        <v>#DIV/0!</v>
      </c>
      <c r="AH24" s="578" t="e">
        <f t="shared" si="121"/>
        <v>#DIV/0!</v>
      </c>
      <c r="AI24" s="578" t="e">
        <f t="shared" si="121"/>
        <v>#DIV/0!</v>
      </c>
      <c r="AJ24" s="578" t="e">
        <f t="shared" si="121"/>
        <v>#DIV/0!</v>
      </c>
      <c r="AK24" s="580" t="e">
        <f t="shared" si="121"/>
        <v>#N/A</v>
      </c>
    </row>
    <row r="25" spans="1:37" s="548" customFormat="1" x14ac:dyDescent="0.2">
      <c r="B25" s="567" t="str">
        <f t="shared" si="14"/>
        <v/>
      </c>
      <c r="C25" s="581" t="e">
        <f>AVERAGE(C95:C98)</f>
        <v>#DIV/0!</v>
      </c>
      <c r="D25" s="581" t="e">
        <f t="shared" ref="D25:AK25" si="122">AVERAGE(D95:D98)</f>
        <v>#DIV/0!</v>
      </c>
      <c r="E25" s="582" t="e">
        <f t="shared" si="122"/>
        <v>#DIV/0!</v>
      </c>
      <c r="F25" s="581" t="e">
        <f t="shared" si="122"/>
        <v>#DIV/0!</v>
      </c>
      <c r="G25" s="581" t="e">
        <f t="shared" si="122"/>
        <v>#DIV/0!</v>
      </c>
      <c r="H25" s="582" t="e">
        <f t="shared" si="122"/>
        <v>#DIV/0!</v>
      </c>
      <c r="I25" s="581" t="e">
        <f t="shared" si="122"/>
        <v>#DIV/0!</v>
      </c>
      <c r="J25" s="581" t="e">
        <f t="shared" si="122"/>
        <v>#DIV/0!</v>
      </c>
      <c r="K25" s="582" t="e">
        <f t="shared" si="122"/>
        <v>#DIV/0!</v>
      </c>
      <c r="L25" s="581" t="e">
        <f t="shared" si="122"/>
        <v>#DIV/0!</v>
      </c>
      <c r="M25" s="581" t="e">
        <f t="shared" si="122"/>
        <v>#DIV/0!</v>
      </c>
      <c r="N25" s="581" t="e">
        <f t="shared" si="122"/>
        <v>#DIV/0!</v>
      </c>
      <c r="O25" s="581" t="e">
        <f t="shared" si="122"/>
        <v>#DIV/0!</v>
      </c>
      <c r="P25" s="582" t="e">
        <f t="shared" si="122"/>
        <v>#DIV/0!</v>
      </c>
      <c r="Q25" s="581" t="e">
        <f t="shared" si="122"/>
        <v>#DIV/0!</v>
      </c>
      <c r="R25" s="581" t="e">
        <f t="shared" si="122"/>
        <v>#DIV/0!</v>
      </c>
      <c r="S25" s="581" t="e">
        <f t="shared" si="122"/>
        <v>#DIV/0!</v>
      </c>
      <c r="T25" s="581" t="e">
        <f t="shared" si="122"/>
        <v>#DIV/0!</v>
      </c>
      <c r="U25" s="581" t="e">
        <f t="shared" si="122"/>
        <v>#DIV/0!</v>
      </c>
      <c r="V25" s="581" t="e">
        <f t="shared" si="122"/>
        <v>#DIV/0!</v>
      </c>
      <c r="W25" s="581" t="e">
        <f t="shared" si="122"/>
        <v>#DIV/0!</v>
      </c>
      <c r="X25" s="581" t="e">
        <f t="shared" si="122"/>
        <v>#DIV/0!</v>
      </c>
      <c r="Y25" s="581" t="e">
        <f t="shared" si="122"/>
        <v>#DIV/0!</v>
      </c>
      <c r="Z25" s="582" t="e">
        <f t="shared" si="122"/>
        <v>#DIV/0!</v>
      </c>
      <c r="AA25" s="581" t="e">
        <f t="shared" si="122"/>
        <v>#DIV/0!</v>
      </c>
      <c r="AB25" s="581" t="e">
        <f t="shared" si="122"/>
        <v>#DIV/0!</v>
      </c>
      <c r="AC25" s="581" t="e">
        <f t="shared" si="122"/>
        <v>#DIV/0!</v>
      </c>
      <c r="AD25" s="581" t="e">
        <f t="shared" si="122"/>
        <v>#DIV/0!</v>
      </c>
      <c r="AE25" s="582" t="e">
        <f t="shared" si="122"/>
        <v>#DIV/0!</v>
      </c>
      <c r="AF25" s="581" t="e">
        <f t="shared" si="122"/>
        <v>#DIV/0!</v>
      </c>
      <c r="AG25" s="581" t="e">
        <f t="shared" si="122"/>
        <v>#DIV/0!</v>
      </c>
      <c r="AH25" s="581" t="e">
        <f t="shared" si="122"/>
        <v>#DIV/0!</v>
      </c>
      <c r="AI25" s="581" t="e">
        <f t="shared" si="122"/>
        <v>#DIV/0!</v>
      </c>
      <c r="AJ25" s="581" t="e">
        <f t="shared" si="122"/>
        <v>#DIV/0!</v>
      </c>
      <c r="AK25" s="583" t="e">
        <f t="shared" si="122"/>
        <v>#N/A</v>
      </c>
    </row>
    <row r="26" spans="1:37" s="548" customFormat="1" x14ac:dyDescent="0.2">
      <c r="B26" s="563" t="s">
        <v>801</v>
      </c>
      <c r="C26" s="584" t="e">
        <f t="shared" ref="C26:K26" si="123">C136</f>
        <v>#DIV/0!</v>
      </c>
      <c r="D26" s="585" t="e">
        <f t="shared" si="123"/>
        <v>#DIV/0!</v>
      </c>
      <c r="E26" s="585" t="e">
        <f t="shared" si="123"/>
        <v>#DIV/0!</v>
      </c>
      <c r="F26" s="584" t="e">
        <f t="shared" si="123"/>
        <v>#DIV/0!</v>
      </c>
      <c r="G26" s="585" t="e">
        <f t="shared" si="123"/>
        <v>#DIV/0!</v>
      </c>
      <c r="H26" s="586" t="e">
        <f t="shared" si="123"/>
        <v>#DIV/0!</v>
      </c>
      <c r="I26" s="585" t="e">
        <f t="shared" si="123"/>
        <v>#DIV/0!</v>
      </c>
      <c r="J26" s="585" t="e">
        <f t="shared" si="123"/>
        <v>#DIV/0!</v>
      </c>
      <c r="K26" s="586" t="e">
        <f t="shared" si="123"/>
        <v>#DIV/0!</v>
      </c>
      <c r="L26" s="585" t="e">
        <f t="shared" ref="L26:P26" si="124">L136</f>
        <v>#DIV/0!</v>
      </c>
      <c r="M26" s="585" t="e">
        <f t="shared" si="124"/>
        <v>#DIV/0!</v>
      </c>
      <c r="N26" s="585" t="e">
        <f t="shared" si="124"/>
        <v>#DIV/0!</v>
      </c>
      <c r="O26" s="585" t="e">
        <f t="shared" si="124"/>
        <v>#DIV/0!</v>
      </c>
      <c r="P26" s="585" t="e">
        <f t="shared" si="124"/>
        <v>#DIV/0!</v>
      </c>
      <c r="Q26" s="584" t="e">
        <f t="shared" ref="Q26:U26" si="125">Q136</f>
        <v>#DIV/0!</v>
      </c>
      <c r="R26" s="585" t="e">
        <f t="shared" si="125"/>
        <v>#DIV/0!</v>
      </c>
      <c r="S26" s="585" t="e">
        <f t="shared" si="125"/>
        <v>#DIV/0!</v>
      </c>
      <c r="T26" s="585" t="e">
        <f t="shared" si="125"/>
        <v>#DIV/0!</v>
      </c>
      <c r="U26" s="586" t="e">
        <f t="shared" si="125"/>
        <v>#DIV/0!</v>
      </c>
      <c r="V26" s="584" t="e">
        <f t="shared" ref="V26:Z26" si="126">V136</f>
        <v>#DIV/0!</v>
      </c>
      <c r="W26" s="585" t="e">
        <f t="shared" si="126"/>
        <v>#DIV/0!</v>
      </c>
      <c r="X26" s="585" t="e">
        <f t="shared" si="126"/>
        <v>#DIV/0!</v>
      </c>
      <c r="Y26" s="585" t="e">
        <f t="shared" si="126"/>
        <v>#DIV/0!</v>
      </c>
      <c r="Z26" s="586" t="e">
        <f t="shared" si="126"/>
        <v>#DIV/0!</v>
      </c>
      <c r="AA26" s="584" t="e">
        <f t="shared" ref="AA26:AG26" si="127">AA136</f>
        <v>#DIV/0!</v>
      </c>
      <c r="AB26" s="585" t="e">
        <f t="shared" si="127"/>
        <v>#DIV/0!</v>
      </c>
      <c r="AC26" s="585" t="e">
        <f t="shared" si="127"/>
        <v>#DIV/0!</v>
      </c>
      <c r="AD26" s="585" t="e">
        <f t="shared" si="127"/>
        <v>#DIV/0!</v>
      </c>
      <c r="AE26" s="586" t="e">
        <f t="shared" si="127"/>
        <v>#DIV/0!</v>
      </c>
      <c r="AF26" s="585" t="e">
        <f t="shared" si="127"/>
        <v>#DIV/0!</v>
      </c>
      <c r="AG26" s="585" t="e">
        <f t="shared" si="127"/>
        <v>#DIV/0!</v>
      </c>
      <c r="AH26" s="585" t="e">
        <f t="shared" ref="AH26:AJ26" si="128">AH136</f>
        <v>#DIV/0!</v>
      </c>
      <c r="AI26" s="585" t="e">
        <f t="shared" si="128"/>
        <v>#DIV/0!</v>
      </c>
      <c r="AJ26" s="586" t="e">
        <f t="shared" si="128"/>
        <v>#DIV/0!</v>
      </c>
      <c r="AK26" s="586" t="e">
        <f t="shared" ref="AK26" si="129">AK136</f>
        <v>#N/A</v>
      </c>
    </row>
    <row r="27" spans="1:37" s="548" customFormat="1" x14ac:dyDescent="0.2">
      <c r="B27" s="563" t="s">
        <v>802</v>
      </c>
      <c r="C27" s="584" t="e">
        <f t="shared" ref="C27:K27" si="130">C138</f>
        <v>#DIV/0!</v>
      </c>
      <c r="D27" s="585" t="e">
        <f t="shared" si="130"/>
        <v>#DIV/0!</v>
      </c>
      <c r="E27" s="585" t="e">
        <f t="shared" si="130"/>
        <v>#DIV/0!</v>
      </c>
      <c r="F27" s="584" t="e">
        <f t="shared" si="130"/>
        <v>#DIV/0!</v>
      </c>
      <c r="G27" s="585" t="e">
        <f t="shared" si="130"/>
        <v>#DIV/0!</v>
      </c>
      <c r="H27" s="586" t="e">
        <f t="shared" si="130"/>
        <v>#DIV/0!</v>
      </c>
      <c r="I27" s="585" t="e">
        <f t="shared" si="130"/>
        <v>#DIV/0!</v>
      </c>
      <c r="J27" s="585" t="e">
        <f t="shared" si="130"/>
        <v>#DIV/0!</v>
      </c>
      <c r="K27" s="586" t="e">
        <f t="shared" si="130"/>
        <v>#DIV/0!</v>
      </c>
      <c r="L27" s="585" t="e">
        <f t="shared" ref="L27:P27" si="131">L138</f>
        <v>#DIV/0!</v>
      </c>
      <c r="M27" s="585" t="e">
        <f t="shared" si="131"/>
        <v>#DIV/0!</v>
      </c>
      <c r="N27" s="585" t="e">
        <f t="shared" si="131"/>
        <v>#DIV/0!</v>
      </c>
      <c r="O27" s="585" t="e">
        <f t="shared" si="131"/>
        <v>#DIV/0!</v>
      </c>
      <c r="P27" s="585" t="e">
        <f t="shared" si="131"/>
        <v>#DIV/0!</v>
      </c>
      <c r="Q27" s="584" t="e">
        <f t="shared" ref="Q27:U27" si="132">Q138</f>
        <v>#DIV/0!</v>
      </c>
      <c r="R27" s="585" t="e">
        <f t="shared" si="132"/>
        <v>#DIV/0!</v>
      </c>
      <c r="S27" s="585" t="e">
        <f t="shared" si="132"/>
        <v>#DIV/0!</v>
      </c>
      <c r="T27" s="585" t="e">
        <f t="shared" si="132"/>
        <v>#DIV/0!</v>
      </c>
      <c r="U27" s="586" t="e">
        <f t="shared" si="132"/>
        <v>#DIV/0!</v>
      </c>
      <c r="V27" s="584" t="e">
        <f t="shared" ref="V27:Z27" si="133">V138</f>
        <v>#DIV/0!</v>
      </c>
      <c r="W27" s="585" t="e">
        <f t="shared" si="133"/>
        <v>#DIV/0!</v>
      </c>
      <c r="X27" s="585" t="e">
        <f t="shared" si="133"/>
        <v>#DIV/0!</v>
      </c>
      <c r="Y27" s="585" t="e">
        <f t="shared" si="133"/>
        <v>#DIV/0!</v>
      </c>
      <c r="Z27" s="586" t="e">
        <f t="shared" si="133"/>
        <v>#DIV/0!</v>
      </c>
      <c r="AA27" s="584" t="e">
        <f t="shared" ref="AA27:AG27" si="134">AA138</f>
        <v>#DIV/0!</v>
      </c>
      <c r="AB27" s="585" t="e">
        <f t="shared" si="134"/>
        <v>#DIV/0!</v>
      </c>
      <c r="AC27" s="585" t="e">
        <f t="shared" si="134"/>
        <v>#DIV/0!</v>
      </c>
      <c r="AD27" s="585" t="e">
        <f t="shared" si="134"/>
        <v>#DIV/0!</v>
      </c>
      <c r="AE27" s="586" t="e">
        <f t="shared" si="134"/>
        <v>#DIV/0!</v>
      </c>
      <c r="AF27" s="585" t="e">
        <f t="shared" si="134"/>
        <v>#DIV/0!</v>
      </c>
      <c r="AG27" s="585" t="e">
        <f t="shared" si="134"/>
        <v>#DIV/0!</v>
      </c>
      <c r="AH27" s="585" t="e">
        <f t="shared" ref="AH27:AJ27" si="135">AH138</f>
        <v>#DIV/0!</v>
      </c>
      <c r="AI27" s="585" t="e">
        <f t="shared" si="135"/>
        <v>#DIV/0!</v>
      </c>
      <c r="AJ27" s="586" t="e">
        <f t="shared" si="135"/>
        <v>#DIV/0!</v>
      </c>
      <c r="AK27" s="586" t="e">
        <f t="shared" ref="AK27" si="136">AK138</f>
        <v>#N/A</v>
      </c>
    </row>
    <row r="28" spans="1:37" s="548" customFormat="1" x14ac:dyDescent="0.2">
      <c r="B28" s="587" t="s">
        <v>803</v>
      </c>
      <c r="C28" s="588" t="e">
        <f t="shared" ref="C28:K28" si="137">C139</f>
        <v>#DIV/0!</v>
      </c>
      <c r="D28" s="589" t="e">
        <f t="shared" si="137"/>
        <v>#DIV/0!</v>
      </c>
      <c r="E28" s="589" t="e">
        <f t="shared" si="137"/>
        <v>#DIV/0!</v>
      </c>
      <c r="F28" s="588" t="e">
        <f t="shared" si="137"/>
        <v>#DIV/0!</v>
      </c>
      <c r="G28" s="589" t="e">
        <f t="shared" si="137"/>
        <v>#DIV/0!</v>
      </c>
      <c r="H28" s="590" t="e">
        <f t="shared" si="137"/>
        <v>#DIV/0!</v>
      </c>
      <c r="I28" s="589" t="e">
        <f t="shared" si="137"/>
        <v>#DIV/0!</v>
      </c>
      <c r="J28" s="589" t="e">
        <f t="shared" si="137"/>
        <v>#DIV/0!</v>
      </c>
      <c r="K28" s="590" t="e">
        <f t="shared" si="137"/>
        <v>#DIV/0!</v>
      </c>
      <c r="L28" s="589" t="e">
        <f t="shared" ref="L28:P28" si="138">L139</f>
        <v>#DIV/0!</v>
      </c>
      <c r="M28" s="589" t="e">
        <f t="shared" si="138"/>
        <v>#DIV/0!</v>
      </c>
      <c r="N28" s="589" t="e">
        <f t="shared" si="138"/>
        <v>#DIV/0!</v>
      </c>
      <c r="O28" s="589" t="e">
        <f t="shared" si="138"/>
        <v>#DIV/0!</v>
      </c>
      <c r="P28" s="589" t="e">
        <f t="shared" si="138"/>
        <v>#DIV/0!</v>
      </c>
      <c r="Q28" s="588" t="e">
        <f t="shared" ref="Q28:U28" si="139">Q139</f>
        <v>#DIV/0!</v>
      </c>
      <c r="R28" s="589" t="e">
        <f t="shared" si="139"/>
        <v>#DIV/0!</v>
      </c>
      <c r="S28" s="589" t="e">
        <f t="shared" si="139"/>
        <v>#DIV/0!</v>
      </c>
      <c r="T28" s="589" t="e">
        <f t="shared" si="139"/>
        <v>#DIV/0!</v>
      </c>
      <c r="U28" s="590" t="e">
        <f t="shared" si="139"/>
        <v>#DIV/0!</v>
      </c>
      <c r="V28" s="588" t="e">
        <f t="shared" ref="V28:Z28" si="140">V139</f>
        <v>#DIV/0!</v>
      </c>
      <c r="W28" s="589" t="e">
        <f t="shared" si="140"/>
        <v>#DIV/0!</v>
      </c>
      <c r="X28" s="589" t="e">
        <f t="shared" si="140"/>
        <v>#DIV/0!</v>
      </c>
      <c r="Y28" s="589" t="e">
        <f t="shared" si="140"/>
        <v>#DIV/0!</v>
      </c>
      <c r="Z28" s="590" t="e">
        <f t="shared" si="140"/>
        <v>#DIV/0!</v>
      </c>
      <c r="AA28" s="588" t="e">
        <f t="shared" ref="AA28:AG28" si="141">AA139</f>
        <v>#DIV/0!</v>
      </c>
      <c r="AB28" s="589" t="e">
        <f t="shared" si="141"/>
        <v>#DIV/0!</v>
      </c>
      <c r="AC28" s="589" t="e">
        <f t="shared" si="141"/>
        <v>#DIV/0!</v>
      </c>
      <c r="AD28" s="589" t="e">
        <f t="shared" si="141"/>
        <v>#DIV/0!</v>
      </c>
      <c r="AE28" s="590" t="e">
        <f t="shared" si="141"/>
        <v>#DIV/0!</v>
      </c>
      <c r="AF28" s="589" t="e">
        <f t="shared" si="141"/>
        <v>#DIV/0!</v>
      </c>
      <c r="AG28" s="589" t="e">
        <f t="shared" si="141"/>
        <v>#DIV/0!</v>
      </c>
      <c r="AH28" s="589" t="e">
        <f t="shared" ref="AH28:AJ28" si="142">AH139</f>
        <v>#DIV/0!</v>
      </c>
      <c r="AI28" s="589" t="e">
        <f t="shared" si="142"/>
        <v>#DIV/0!</v>
      </c>
      <c r="AJ28" s="590" t="e">
        <f t="shared" si="142"/>
        <v>#DIV/0!</v>
      </c>
      <c r="AK28" s="590" t="e">
        <f t="shared" ref="AK28" si="143">AK139</f>
        <v>#N/A</v>
      </c>
    </row>
    <row r="29" spans="1:37" x14ac:dyDescent="0.2">
      <c r="A29" s="591"/>
      <c r="B29" s="591"/>
      <c r="C29" s="592"/>
      <c r="D29" s="593"/>
      <c r="E29" s="593"/>
      <c r="F29" s="593"/>
      <c r="G29" s="593"/>
      <c r="H29" s="593"/>
      <c r="I29" s="593"/>
      <c r="J29" s="593"/>
      <c r="K29" s="594"/>
      <c r="L29" s="595"/>
      <c r="M29" s="595"/>
      <c r="N29" s="595"/>
      <c r="O29" s="595"/>
      <c r="P29" s="595"/>
      <c r="Q29" s="595"/>
      <c r="R29" s="595"/>
      <c r="S29" s="595"/>
      <c r="T29" s="595"/>
      <c r="U29" s="595"/>
      <c r="V29" s="595"/>
      <c r="W29" s="595"/>
      <c r="X29" s="595"/>
      <c r="Y29" s="595"/>
      <c r="Z29" s="595"/>
      <c r="AA29" s="595"/>
      <c r="AB29" s="595"/>
      <c r="AC29" s="595"/>
      <c r="AD29" s="595"/>
      <c r="AE29" s="595"/>
      <c r="AF29" s="595"/>
      <c r="AG29" s="595"/>
    </row>
    <row r="30" spans="1:37" hidden="1" x14ac:dyDescent="0.2">
      <c r="A30" s="597"/>
      <c r="B30" s="597" t="s">
        <v>157</v>
      </c>
      <c r="C30" s="598"/>
      <c r="D30" s="599"/>
      <c r="E30" s="599"/>
      <c r="F30" s="599"/>
      <c r="G30" s="599"/>
      <c r="H30" s="599"/>
      <c r="I30" s="599"/>
      <c r="J30" s="599"/>
      <c r="K30" s="600"/>
    </row>
    <row r="31" spans="1:37" hidden="1" x14ac:dyDescent="0.2">
      <c r="B31" s="596" t="s">
        <v>1043</v>
      </c>
      <c r="C31" s="598" t="str">
        <f>IF(ISNUMBER(VLOOKUP($B31,'F1'!$D$6:$G$73,2,0)),VLOOKUP($B31,'F1'!$D$6:$G$73,2,0),"")</f>
        <v/>
      </c>
      <c r="D31" s="599" t="str">
        <f>IF(ISNUMBER(VLOOKUP($B31,'F1'!$D$6:$G$73,3,0)),VLOOKUP($B31,'F1'!$D$6:$G$73,3,0),"")</f>
        <v/>
      </c>
      <c r="E31" s="599" t="str">
        <f>IF(ISNUMBER(VLOOKUP($B31,'F1'!$D$6:$G$73,4,0)),VLOOKUP($B31,'F1'!$D$6:$G$73,4,0),"")</f>
        <v/>
      </c>
      <c r="F31" s="598" t="str">
        <f>IF(ISNUMBER(VLOOKUP($B31,'F2'!$D$6:$G$73,2,0)),VLOOKUP($B31,'F2'!$D$6:$G$73,2,0),"")</f>
        <v/>
      </c>
      <c r="G31" s="599" t="str">
        <f>IF(ISNUMBER(VLOOKUP($B31,'F2'!$D$6:$G$73,3,0)),VLOOKUP($B31,'F2'!$D$6:$G$73,3,0),"")</f>
        <v/>
      </c>
      <c r="H31" s="599" t="str">
        <f>IF(ISNUMBER(VLOOKUP($B31,'F2'!$D$6:$G$73,4,0)),VLOOKUP($B31,'F2'!$D$6:$G$73,4,0),"")</f>
        <v/>
      </c>
      <c r="I31" s="598" t="str">
        <f>IF(ISNUMBER(VLOOKUP($B31,#REF!,2,0)),VLOOKUP($B31,#REF!,2,0),"")</f>
        <v/>
      </c>
      <c r="J31" s="599" t="str">
        <f>IF(ISNUMBER(VLOOKUP($B31,#REF!,3,0)),VLOOKUP($B31,#REF!,3,0),"")</f>
        <v/>
      </c>
      <c r="K31" s="599" t="str">
        <f>IF(ISNUMBER(VLOOKUP($B31,#REF!,4,0)),VLOOKUP($B31,#REF!,4,0),"")</f>
        <v/>
      </c>
      <c r="L31" s="598" t="str">
        <f>IF(ISNUMBER(VLOOKUP($B31,'G1'!$D$7:$M$74,2,0)),VLOOKUP($B31,'G1'!$D$7:$M$74,2,0),"")</f>
        <v/>
      </c>
      <c r="M31" s="599" t="str">
        <f>IF(ISNUMBER(VLOOKUP($B31,'G1'!$D$7:$M$74,3,0)),VLOOKUP($B31,'G1'!$D$7:$M$74,3,0),"")</f>
        <v/>
      </c>
      <c r="N31" s="599" t="str">
        <f>IF(ISNUMBER(VLOOKUP($B31,'G1'!$D$7:$M$74,4,0)),VLOOKUP($B31,'G1'!$D$7:$M$74,4,0),"")</f>
        <v/>
      </c>
      <c r="O31" s="599" t="str">
        <f>IF(ISNUMBER(VLOOKUP($B31,'G1'!$D$7:$M$74,5,0)),VLOOKUP($B31,'G1'!$D$7:$M$74,5,0),"")</f>
        <v/>
      </c>
      <c r="P31" s="599" t="str">
        <f>IF(ISNUMBER(VLOOKUP($B31,'G1'!$D$7:$M$74,6,0)),VLOOKUP($B31,'G1'!$D$7:$M$74,6,0),"")</f>
        <v/>
      </c>
      <c r="Q31" s="598" t="str">
        <f>IF(ISNUMBER(VLOOKUP($B31,'G2'!$D$7:$M$74,2,0)),VLOOKUP($B31,'G2'!$D$7:$M$74,2,0),"")</f>
        <v/>
      </c>
      <c r="R31" s="599" t="str">
        <f>IF(ISNUMBER(VLOOKUP($B31,'G2'!$D$7:$M$74,3,0)),VLOOKUP($B31,'G2'!$D$7:$M$74,3,0),"")</f>
        <v/>
      </c>
      <c r="S31" s="599" t="str">
        <f>IF(ISNUMBER(VLOOKUP($B31,'G2'!$D$7:$M$74,4,0)),VLOOKUP($B31,'G2'!$D$7:$M$74,4,0),"")</f>
        <v/>
      </c>
      <c r="T31" s="599" t="str">
        <f>IF(ISNUMBER(VLOOKUP($B31,'G2'!$D$7:$M$74,5,0)),VLOOKUP($B31,'G2'!$D$7:$M$74,5,0),"")</f>
        <v/>
      </c>
      <c r="U31" s="599" t="str">
        <f>IF(ISNUMBER(VLOOKUP($B31,'G2'!$D$7:$M$74,6,0)),VLOOKUP($B31,'G2'!$D$7:$M$74,6,0),"")</f>
        <v/>
      </c>
      <c r="V31" s="598" t="str">
        <f>IF(ISNUMBER(VLOOKUP($B31,'G3'!$D$7:$M$74,2,0)),VLOOKUP($B31,'G3'!$D$7:$M$74,2,0),"")</f>
        <v/>
      </c>
      <c r="W31" s="599" t="str">
        <f>IF(ISNUMBER(VLOOKUP($B31,'G3'!$D$7:$M$74,3,0)),VLOOKUP($B31,'G3'!$D$7:$M$74,3,0),"")</f>
        <v/>
      </c>
      <c r="X31" s="599" t="str">
        <f>IF(ISNUMBER(VLOOKUP($B31,'G3'!$D$7:$M$74,4,0)),VLOOKUP($B31,'G3'!$D$7:$M$74,4,0),"")</f>
        <v/>
      </c>
      <c r="Y31" s="599" t="str">
        <f>IF(ISNUMBER(VLOOKUP($B31,'G3'!$D$7:$M$74,5,0)),VLOOKUP($B31,'G3'!$D$7:$M$74,5,0),"")</f>
        <v/>
      </c>
      <c r="Z31" s="599" t="str">
        <f>IF(ISNUMBER(VLOOKUP($B31,'G3'!$D$7:$M$74,6,0)),VLOOKUP($B31,'G3'!$D$7:$M$74,6,0),"")</f>
        <v/>
      </c>
      <c r="AA31" s="598" t="str">
        <f>IF(ISNUMBER(VLOOKUP($B31,#REF!,2,0)),VLOOKUP($B31,#REF!,2,0),"")</f>
        <v/>
      </c>
      <c r="AB31" s="599" t="str">
        <f>IF(ISNUMBER(VLOOKUP($B31,#REF!,3,0)),VLOOKUP($B31,#REF!,3,0),"")</f>
        <v/>
      </c>
      <c r="AC31" s="599" t="str">
        <f>IF(ISNUMBER(VLOOKUP($B31,#REF!,4,0)),VLOOKUP($B31,#REF!,4,0),"")</f>
        <v/>
      </c>
      <c r="AD31" s="599" t="str">
        <f>IF(ISNUMBER(VLOOKUP($B31,#REF!,5,0)),VLOOKUP($B31,#REF!,5,0),"")</f>
        <v/>
      </c>
      <c r="AE31" s="599" t="str">
        <f>IF(ISNUMBER(VLOOKUP($B31,#REF!,6,0)),VLOOKUP($B31,#REF!,6,0),"")</f>
        <v/>
      </c>
      <c r="AF31" s="598" t="str">
        <f>IF(ISNUMBER(VLOOKUP($B31,#REF!,2,0)),VLOOKUP($B31,#REF!,2,0),"")</f>
        <v/>
      </c>
      <c r="AG31" s="599" t="str">
        <f>IF(ISNUMBER(VLOOKUP($B31,#REF!,3,0)),VLOOKUP($B31,#REF!,3,0),"")</f>
        <v/>
      </c>
      <c r="AH31" s="599" t="str">
        <f>IF(ISNUMBER(VLOOKUP($B31,#REF!,4,0)),VLOOKUP($B31,#REF!,4,0),"")</f>
        <v/>
      </c>
      <c r="AI31" s="599" t="str">
        <f>IF(ISNUMBER(VLOOKUP($B31,#REF!,5,0)),VLOOKUP($B31,#REF!,5,0),"")</f>
        <v/>
      </c>
      <c r="AJ31" s="599" t="str">
        <f>IF(ISNUMBER(VLOOKUP($B31,#REF!,6,0)),VLOOKUP($B31,#REF!,6,0),"")</f>
        <v/>
      </c>
      <c r="AK31" s="599" t="str">
        <f>VLOOKUP($B31,Skörd!$D$5:$M$72,7,0)</f>
        <v/>
      </c>
    </row>
    <row r="32" spans="1:37" hidden="1" x14ac:dyDescent="0.2">
      <c r="B32" s="596" t="s">
        <v>1044</v>
      </c>
      <c r="C32" s="598" t="str">
        <f>IF(ISNUMBER(VLOOKUP($B32,'F1'!$D$6:$G$73,2,0)),VLOOKUP($B32,'F1'!$D$6:$G$73,2,0),"")</f>
        <v/>
      </c>
      <c r="D32" s="599" t="str">
        <f>IF(ISNUMBER(VLOOKUP($B32,'F1'!$D$6:$G$73,3,0)),VLOOKUP($B32,'F1'!$D$6:$G$73,3,0),"")</f>
        <v/>
      </c>
      <c r="E32" s="599" t="str">
        <f>IF(ISNUMBER(VLOOKUP($B32,'F1'!$D$6:$G$73,4,0)),VLOOKUP($B32,'F1'!$D$6:$G$73,4,0),"")</f>
        <v/>
      </c>
      <c r="F32" s="598" t="str">
        <f>IF(ISNUMBER(VLOOKUP($B32,'F2'!$D$6:$G$73,2,0)),VLOOKUP($B32,'F2'!$D$6:$G$73,2,0),"")</f>
        <v/>
      </c>
      <c r="G32" s="599" t="str">
        <f>IF(ISNUMBER(VLOOKUP($B32,'F2'!$D$6:$G$73,3,0)),VLOOKUP($B32,'F2'!$D$6:$G$73,3,0),"")</f>
        <v/>
      </c>
      <c r="H32" s="599" t="str">
        <f>IF(ISNUMBER(VLOOKUP($B32,'F2'!$D$6:$G$73,4,0)),VLOOKUP($B32,'F2'!$D$6:$G$73,4,0),"")</f>
        <v/>
      </c>
      <c r="I32" s="598" t="str">
        <f>IF(ISNUMBER(VLOOKUP($B32,#REF!,2,0)),VLOOKUP($B32,#REF!,2,0),"")</f>
        <v/>
      </c>
      <c r="J32" s="599" t="str">
        <f>IF(ISNUMBER(VLOOKUP($B32,#REF!,3,0)),VLOOKUP($B32,#REF!,3,0),"")</f>
        <v/>
      </c>
      <c r="K32" s="599" t="str">
        <f>IF(ISNUMBER(VLOOKUP($B32,#REF!,4,0)),VLOOKUP($B32,#REF!,4,0),"")</f>
        <v/>
      </c>
      <c r="L32" s="598" t="str">
        <f>IF(ISNUMBER(VLOOKUP($B32,'G1'!$D$7:$M$74,2,0)),VLOOKUP($B32,'G1'!$D$7:$M$74,2,0),"")</f>
        <v/>
      </c>
      <c r="M32" s="599" t="str">
        <f>IF(ISNUMBER(VLOOKUP($B32,'G1'!$D$7:$M$74,3,0)),VLOOKUP($B32,'G1'!$D$7:$M$74,3,0),"")</f>
        <v/>
      </c>
      <c r="N32" s="599" t="str">
        <f>IF(ISNUMBER(VLOOKUP($B32,'G1'!$D$7:$M$74,4,0)),VLOOKUP($B32,'G1'!$D$7:$M$74,4,0),"")</f>
        <v/>
      </c>
      <c r="O32" s="599" t="str">
        <f>IF(ISNUMBER(VLOOKUP($B32,'G1'!$D$7:$M$74,5,0)),VLOOKUP($B32,'G1'!$D$7:$M$74,5,0),"")</f>
        <v/>
      </c>
      <c r="P32" s="599" t="str">
        <f>IF(ISNUMBER(VLOOKUP($B32,'G1'!$D$7:$M$74,6,0)),VLOOKUP($B32,'G1'!$D$7:$M$74,6,0),"")</f>
        <v/>
      </c>
      <c r="Q32" s="598" t="str">
        <f>IF(ISNUMBER(VLOOKUP($B32,'G2'!$D$7:$M$74,2,0)),VLOOKUP($B32,'G2'!$D$7:$M$74,2,0),"")</f>
        <v/>
      </c>
      <c r="R32" s="599" t="str">
        <f>IF(ISNUMBER(VLOOKUP($B32,'G2'!$D$7:$M$74,3,0)),VLOOKUP($B32,'G2'!$D$7:$M$74,3,0),"")</f>
        <v/>
      </c>
      <c r="S32" s="599" t="str">
        <f>IF(ISNUMBER(VLOOKUP($B32,'G2'!$D$7:$M$74,4,0)),VLOOKUP($B32,'G2'!$D$7:$M$74,4,0),"")</f>
        <v/>
      </c>
      <c r="T32" s="599" t="str">
        <f>IF(ISNUMBER(VLOOKUP($B32,'G2'!$D$7:$M$74,5,0)),VLOOKUP($B32,'G2'!$D$7:$M$74,5,0),"")</f>
        <v/>
      </c>
      <c r="U32" s="599" t="str">
        <f>IF(ISNUMBER(VLOOKUP($B32,'G2'!$D$7:$M$74,6,0)),VLOOKUP($B32,'G2'!$D$7:$M$74,6,0),"")</f>
        <v/>
      </c>
      <c r="V32" s="598" t="str">
        <f>IF(ISNUMBER(VLOOKUP($B32,'G3'!$D$7:$M$74,2,0)),VLOOKUP($B32,'G3'!$D$7:$M$74,2,0),"")</f>
        <v/>
      </c>
      <c r="W32" s="599" t="str">
        <f>IF(ISNUMBER(VLOOKUP($B32,'G3'!$D$7:$M$74,3,0)),VLOOKUP($B32,'G3'!$D$7:$M$74,3,0),"")</f>
        <v/>
      </c>
      <c r="X32" s="599" t="str">
        <f>IF(ISNUMBER(VLOOKUP($B32,'G3'!$D$7:$M$74,4,0)),VLOOKUP($B32,'G3'!$D$7:$M$74,4,0),"")</f>
        <v/>
      </c>
      <c r="Y32" s="599" t="str">
        <f>IF(ISNUMBER(VLOOKUP($B32,'G3'!$D$7:$M$74,5,0)),VLOOKUP($B32,'G3'!$D$7:$M$74,5,0),"")</f>
        <v/>
      </c>
      <c r="Z32" s="599" t="str">
        <f>IF(ISNUMBER(VLOOKUP($B32,'G3'!$D$7:$M$74,6,0)),VLOOKUP($B32,'G3'!$D$7:$M$74,6,0),"")</f>
        <v/>
      </c>
      <c r="AA32" s="598" t="str">
        <f>IF(ISNUMBER(VLOOKUP($B32,#REF!,2,0)),VLOOKUP($B32,#REF!,2,0),"")</f>
        <v/>
      </c>
      <c r="AB32" s="599" t="str">
        <f>IF(ISNUMBER(VLOOKUP($B32,#REF!,3,0)),VLOOKUP($B32,#REF!,3,0),"")</f>
        <v/>
      </c>
      <c r="AC32" s="599" t="str">
        <f>IF(ISNUMBER(VLOOKUP($B32,#REF!,4,0)),VLOOKUP($B32,#REF!,4,0),"")</f>
        <v/>
      </c>
      <c r="AD32" s="599" t="str">
        <f>IF(ISNUMBER(VLOOKUP($B32,#REF!,5,0)),VLOOKUP($B32,#REF!,5,0),"")</f>
        <v/>
      </c>
      <c r="AE32" s="599" t="str">
        <f>IF(ISNUMBER(VLOOKUP($B32,#REF!,6,0)),VLOOKUP($B32,#REF!,6,0),"")</f>
        <v/>
      </c>
      <c r="AF32" s="598" t="str">
        <f>IF(ISNUMBER(VLOOKUP($B32,#REF!,2,0)),VLOOKUP($B32,#REF!,2,0),"")</f>
        <v/>
      </c>
      <c r="AG32" s="599" t="str">
        <f>IF(ISNUMBER(VLOOKUP($B32,#REF!,3,0)),VLOOKUP($B32,#REF!,3,0),"")</f>
        <v/>
      </c>
      <c r="AH32" s="599" t="str">
        <f>IF(ISNUMBER(VLOOKUP($B32,#REF!,4,0)),VLOOKUP($B32,#REF!,4,0),"")</f>
        <v/>
      </c>
      <c r="AI32" s="599" t="str">
        <f>IF(ISNUMBER(VLOOKUP($B32,#REF!,5,0)),VLOOKUP($B32,#REF!,5,0),"")</f>
        <v/>
      </c>
      <c r="AJ32" s="599" t="str">
        <f>IF(ISNUMBER(VLOOKUP($B32,#REF!,6,0)),VLOOKUP($B32,#REF!,6,0),"")</f>
        <v/>
      </c>
      <c r="AK32" s="599" t="str">
        <f>VLOOKUP($B32,Skörd!$D$5:$M$72,7,0)</f>
        <v/>
      </c>
    </row>
    <row r="33" spans="2:37" hidden="1" x14ac:dyDescent="0.2">
      <c r="B33" s="596" t="s">
        <v>1045</v>
      </c>
      <c r="C33" s="598" t="str">
        <f>IF(ISNUMBER(VLOOKUP($B33,'F1'!$D$6:$G$73,2,0)),VLOOKUP($B33,'F1'!$D$6:$G$73,2,0),"")</f>
        <v/>
      </c>
      <c r="D33" s="599" t="str">
        <f>IF(ISNUMBER(VLOOKUP($B33,'F1'!$D$6:$G$73,3,0)),VLOOKUP($B33,'F1'!$D$6:$G$73,3,0),"")</f>
        <v/>
      </c>
      <c r="E33" s="599" t="str">
        <f>IF(ISNUMBER(VLOOKUP($B33,'F1'!$D$6:$G$73,4,0)),VLOOKUP($B33,'F1'!$D$6:$G$73,4,0),"")</f>
        <v/>
      </c>
      <c r="F33" s="598" t="str">
        <f>IF(ISNUMBER(VLOOKUP($B33,'F2'!$D$6:$G$73,2,0)),VLOOKUP($B33,'F2'!$D$6:$G$73,2,0),"")</f>
        <v/>
      </c>
      <c r="G33" s="599" t="str">
        <f>IF(ISNUMBER(VLOOKUP($B33,'F2'!$D$6:$G$73,3,0)),VLOOKUP($B33,'F2'!$D$6:$G$73,3,0),"")</f>
        <v/>
      </c>
      <c r="H33" s="599" t="str">
        <f>IF(ISNUMBER(VLOOKUP($B33,'F2'!$D$6:$G$73,4,0)),VLOOKUP($B33,'F2'!$D$6:$G$73,4,0),"")</f>
        <v/>
      </c>
      <c r="I33" s="598" t="str">
        <f>IF(ISNUMBER(VLOOKUP($B33,#REF!,2,0)),VLOOKUP($B33,#REF!,2,0),"")</f>
        <v/>
      </c>
      <c r="J33" s="599" t="str">
        <f>IF(ISNUMBER(VLOOKUP($B33,#REF!,3,0)),VLOOKUP($B33,#REF!,3,0),"")</f>
        <v/>
      </c>
      <c r="K33" s="599" t="str">
        <f>IF(ISNUMBER(VLOOKUP($B33,#REF!,4,0)),VLOOKUP($B33,#REF!,4,0),"")</f>
        <v/>
      </c>
      <c r="L33" s="598" t="str">
        <f>IF(ISNUMBER(VLOOKUP($B33,'G1'!$D$7:$M$74,2,0)),VLOOKUP($B33,'G1'!$D$7:$M$74,2,0),"")</f>
        <v/>
      </c>
      <c r="M33" s="599" t="str">
        <f>IF(ISNUMBER(VLOOKUP($B33,'G1'!$D$7:$M$74,3,0)),VLOOKUP($B33,'G1'!$D$7:$M$74,3,0),"")</f>
        <v/>
      </c>
      <c r="N33" s="599" t="str">
        <f>IF(ISNUMBER(VLOOKUP($B33,'G1'!$D$7:$M$74,4,0)),VLOOKUP($B33,'G1'!$D$7:$M$74,4,0),"")</f>
        <v/>
      </c>
      <c r="O33" s="599" t="str">
        <f>IF(ISNUMBER(VLOOKUP($B33,'G1'!$D$7:$M$74,5,0)),VLOOKUP($B33,'G1'!$D$7:$M$74,5,0),"")</f>
        <v/>
      </c>
      <c r="P33" s="599" t="str">
        <f>IF(ISNUMBER(VLOOKUP($B33,'G1'!$D$7:$M$74,6,0)),VLOOKUP($B33,'G1'!$D$7:$M$74,6,0),"")</f>
        <v/>
      </c>
      <c r="Q33" s="598" t="str">
        <f>IF(ISNUMBER(VLOOKUP($B33,'G2'!$D$7:$M$74,2,0)),VLOOKUP($B33,'G2'!$D$7:$M$74,2,0),"")</f>
        <v/>
      </c>
      <c r="R33" s="599" t="str">
        <f>IF(ISNUMBER(VLOOKUP($B33,'G2'!$D$7:$M$74,3,0)),VLOOKUP($B33,'G2'!$D$7:$M$74,3,0),"")</f>
        <v/>
      </c>
      <c r="S33" s="599" t="str">
        <f>IF(ISNUMBER(VLOOKUP($B33,'G2'!$D$7:$M$74,4,0)),VLOOKUP($B33,'G2'!$D$7:$M$74,4,0),"")</f>
        <v/>
      </c>
      <c r="T33" s="599" t="str">
        <f>IF(ISNUMBER(VLOOKUP($B33,'G2'!$D$7:$M$74,5,0)),VLOOKUP($B33,'G2'!$D$7:$M$74,5,0),"")</f>
        <v/>
      </c>
      <c r="U33" s="599" t="str">
        <f>IF(ISNUMBER(VLOOKUP($B33,'G2'!$D$7:$M$74,6,0)),VLOOKUP($B33,'G2'!$D$7:$M$74,6,0),"")</f>
        <v/>
      </c>
      <c r="V33" s="598" t="str">
        <f>IF(ISNUMBER(VLOOKUP($B33,'G3'!$D$7:$M$74,2,0)),VLOOKUP($B33,'G3'!$D$7:$M$74,2,0),"")</f>
        <v/>
      </c>
      <c r="W33" s="599" t="str">
        <f>IF(ISNUMBER(VLOOKUP($B33,'G3'!$D$7:$M$74,3,0)),VLOOKUP($B33,'G3'!$D$7:$M$74,3,0),"")</f>
        <v/>
      </c>
      <c r="X33" s="599" t="str">
        <f>IF(ISNUMBER(VLOOKUP($B33,'G3'!$D$7:$M$74,4,0)),VLOOKUP($B33,'G3'!$D$7:$M$74,4,0),"")</f>
        <v/>
      </c>
      <c r="Y33" s="599" t="str">
        <f>IF(ISNUMBER(VLOOKUP($B33,'G3'!$D$7:$M$74,5,0)),VLOOKUP($B33,'G3'!$D$7:$M$74,5,0),"")</f>
        <v/>
      </c>
      <c r="Z33" s="599" t="str">
        <f>IF(ISNUMBER(VLOOKUP($B33,'G3'!$D$7:$M$74,6,0)),VLOOKUP($B33,'G3'!$D$7:$M$74,6,0),"")</f>
        <v/>
      </c>
      <c r="AA33" s="598" t="str">
        <f>IF(ISNUMBER(VLOOKUP($B33,#REF!,2,0)),VLOOKUP($B33,#REF!,2,0),"")</f>
        <v/>
      </c>
      <c r="AB33" s="599" t="str">
        <f>IF(ISNUMBER(VLOOKUP($B33,#REF!,3,0)),VLOOKUP($B33,#REF!,3,0),"")</f>
        <v/>
      </c>
      <c r="AC33" s="599" t="str">
        <f>IF(ISNUMBER(VLOOKUP($B33,#REF!,4,0)),VLOOKUP($B33,#REF!,4,0),"")</f>
        <v/>
      </c>
      <c r="AD33" s="599" t="str">
        <f>IF(ISNUMBER(VLOOKUP($B33,#REF!,5,0)),VLOOKUP($B33,#REF!,5,0),"")</f>
        <v/>
      </c>
      <c r="AE33" s="599" t="str">
        <f>IF(ISNUMBER(VLOOKUP($B33,#REF!,6,0)),VLOOKUP($B33,#REF!,6,0),"")</f>
        <v/>
      </c>
      <c r="AF33" s="598" t="str">
        <f>IF(ISNUMBER(VLOOKUP($B33,#REF!,2,0)),VLOOKUP($B33,#REF!,2,0),"")</f>
        <v/>
      </c>
      <c r="AG33" s="599" t="str">
        <f>IF(ISNUMBER(VLOOKUP($B33,#REF!,3,0)),VLOOKUP($B33,#REF!,3,0),"")</f>
        <v/>
      </c>
      <c r="AH33" s="599" t="str">
        <f>IF(ISNUMBER(VLOOKUP($B33,#REF!,4,0)),VLOOKUP($B33,#REF!,4,0),"")</f>
        <v/>
      </c>
      <c r="AI33" s="599" t="str">
        <f>IF(ISNUMBER(VLOOKUP($B33,#REF!,5,0)),VLOOKUP($B33,#REF!,5,0),"")</f>
        <v/>
      </c>
      <c r="AJ33" s="599" t="str">
        <f>IF(ISNUMBER(VLOOKUP($B33,#REF!,6,0)),VLOOKUP($B33,#REF!,6,0),"")</f>
        <v/>
      </c>
      <c r="AK33" s="599" t="str">
        <f>VLOOKUP($B33,Skörd!$D$5:$M$72,7,0)</f>
        <v/>
      </c>
    </row>
    <row r="34" spans="2:37" hidden="1" x14ac:dyDescent="0.2">
      <c r="B34" s="596" t="s">
        <v>1046</v>
      </c>
      <c r="C34" s="598" t="str">
        <f>IF(ISNUMBER(VLOOKUP($B34,'F1'!$D$6:$G$73,2,0)),VLOOKUP($B34,'F1'!$D$6:$G$73,2,0),"")</f>
        <v/>
      </c>
      <c r="D34" s="599" t="str">
        <f>IF(ISNUMBER(VLOOKUP($B34,'F1'!$D$6:$G$73,3,0)),VLOOKUP($B34,'F1'!$D$6:$G$73,3,0),"")</f>
        <v/>
      </c>
      <c r="E34" s="599" t="str">
        <f>IF(ISNUMBER(VLOOKUP($B34,'F1'!$D$6:$G$73,4,0)),VLOOKUP($B34,'F1'!$D$6:$G$73,4,0),"")</f>
        <v/>
      </c>
      <c r="F34" s="598" t="str">
        <f>IF(ISNUMBER(VLOOKUP($B34,'F2'!$D$6:$G$73,2,0)),VLOOKUP($B34,'F2'!$D$6:$G$73,2,0),"")</f>
        <v/>
      </c>
      <c r="G34" s="599" t="str">
        <f>IF(ISNUMBER(VLOOKUP($B34,'F2'!$D$6:$G$73,3,0)),VLOOKUP($B34,'F2'!$D$6:$G$73,3,0),"")</f>
        <v/>
      </c>
      <c r="H34" s="599" t="str">
        <f>IF(ISNUMBER(VLOOKUP($B34,'F2'!$D$6:$G$73,4,0)),VLOOKUP($B34,'F2'!$D$6:$G$73,4,0),"")</f>
        <v/>
      </c>
      <c r="I34" s="598" t="str">
        <f>IF(ISNUMBER(VLOOKUP($B34,#REF!,2,0)),VLOOKUP($B34,#REF!,2,0),"")</f>
        <v/>
      </c>
      <c r="J34" s="599" t="str">
        <f>IF(ISNUMBER(VLOOKUP($B34,#REF!,3,0)),VLOOKUP($B34,#REF!,3,0),"")</f>
        <v/>
      </c>
      <c r="K34" s="599" t="str">
        <f>IF(ISNUMBER(VLOOKUP($B34,#REF!,4,0)),VLOOKUP($B34,#REF!,4,0),"")</f>
        <v/>
      </c>
      <c r="L34" s="598" t="str">
        <f>IF(ISNUMBER(VLOOKUP($B34,'G1'!$D$7:$M$74,2,0)),VLOOKUP($B34,'G1'!$D$7:$M$74,2,0),"")</f>
        <v/>
      </c>
      <c r="M34" s="599" t="str">
        <f>IF(ISNUMBER(VLOOKUP($B34,'G1'!$D$7:$M$74,3,0)),VLOOKUP($B34,'G1'!$D$7:$M$74,3,0),"")</f>
        <v/>
      </c>
      <c r="N34" s="599" t="str">
        <f>IF(ISNUMBER(VLOOKUP($B34,'G1'!$D$7:$M$74,4,0)),VLOOKUP($B34,'G1'!$D$7:$M$74,4,0),"")</f>
        <v/>
      </c>
      <c r="O34" s="599" t="str">
        <f>IF(ISNUMBER(VLOOKUP($B34,'G1'!$D$7:$M$74,5,0)),VLOOKUP($B34,'G1'!$D$7:$M$74,5,0),"")</f>
        <v/>
      </c>
      <c r="P34" s="599" t="str">
        <f>IF(ISNUMBER(VLOOKUP($B34,'G1'!$D$7:$M$74,6,0)),VLOOKUP($B34,'G1'!$D$7:$M$74,6,0),"")</f>
        <v/>
      </c>
      <c r="Q34" s="598" t="str">
        <f>IF(ISNUMBER(VLOOKUP($B34,'G2'!$D$7:$M$74,2,0)),VLOOKUP($B34,'G2'!$D$7:$M$74,2,0),"")</f>
        <v/>
      </c>
      <c r="R34" s="599" t="str">
        <f>IF(ISNUMBER(VLOOKUP($B34,'G2'!$D$7:$M$74,3,0)),VLOOKUP($B34,'G2'!$D$7:$M$74,3,0),"")</f>
        <v/>
      </c>
      <c r="S34" s="599" t="str">
        <f>IF(ISNUMBER(VLOOKUP($B34,'G2'!$D$7:$M$74,4,0)),VLOOKUP($B34,'G2'!$D$7:$M$74,4,0),"")</f>
        <v/>
      </c>
      <c r="T34" s="599" t="str">
        <f>IF(ISNUMBER(VLOOKUP($B34,'G2'!$D$7:$M$74,5,0)),VLOOKUP($B34,'G2'!$D$7:$M$74,5,0),"")</f>
        <v/>
      </c>
      <c r="U34" s="599" t="str">
        <f>IF(ISNUMBER(VLOOKUP($B34,'G2'!$D$7:$M$74,6,0)),VLOOKUP($B34,'G2'!$D$7:$M$74,6,0),"")</f>
        <v/>
      </c>
      <c r="V34" s="598" t="str">
        <f>IF(ISNUMBER(VLOOKUP($B34,'G3'!$D$7:$M$74,2,0)),VLOOKUP($B34,'G3'!$D$7:$M$74,2,0),"")</f>
        <v/>
      </c>
      <c r="W34" s="599" t="str">
        <f>IF(ISNUMBER(VLOOKUP($B34,'G3'!$D$7:$M$74,3,0)),VLOOKUP($B34,'G3'!$D$7:$M$74,3,0),"")</f>
        <v/>
      </c>
      <c r="X34" s="599" t="str">
        <f>IF(ISNUMBER(VLOOKUP($B34,'G3'!$D$7:$M$74,4,0)),VLOOKUP($B34,'G3'!$D$7:$M$74,4,0),"")</f>
        <v/>
      </c>
      <c r="Y34" s="599" t="str">
        <f>IF(ISNUMBER(VLOOKUP($B34,'G3'!$D$7:$M$74,5,0)),VLOOKUP($B34,'G3'!$D$7:$M$74,5,0),"")</f>
        <v/>
      </c>
      <c r="Z34" s="599" t="str">
        <f>IF(ISNUMBER(VLOOKUP($B34,'G3'!$D$7:$M$74,6,0)),VLOOKUP($B34,'G3'!$D$7:$M$74,6,0),"")</f>
        <v/>
      </c>
      <c r="AA34" s="598" t="str">
        <f>IF(ISNUMBER(VLOOKUP($B34,#REF!,2,0)),VLOOKUP($B34,#REF!,2,0),"")</f>
        <v/>
      </c>
      <c r="AB34" s="599" t="str">
        <f>IF(ISNUMBER(VLOOKUP($B34,#REF!,3,0)),VLOOKUP($B34,#REF!,3,0),"")</f>
        <v/>
      </c>
      <c r="AC34" s="599" t="str">
        <f>IF(ISNUMBER(VLOOKUP($B34,#REF!,4,0)),VLOOKUP($B34,#REF!,4,0),"")</f>
        <v/>
      </c>
      <c r="AD34" s="599" t="str">
        <f>IF(ISNUMBER(VLOOKUP($B34,#REF!,5,0)),VLOOKUP($B34,#REF!,5,0),"")</f>
        <v/>
      </c>
      <c r="AE34" s="599" t="str">
        <f>IF(ISNUMBER(VLOOKUP($B34,#REF!,6,0)),VLOOKUP($B34,#REF!,6,0),"")</f>
        <v/>
      </c>
      <c r="AF34" s="598" t="str">
        <f>IF(ISNUMBER(VLOOKUP($B34,#REF!,2,0)),VLOOKUP($B34,#REF!,2,0),"")</f>
        <v/>
      </c>
      <c r="AG34" s="599" t="str">
        <f>IF(ISNUMBER(VLOOKUP($B34,#REF!,3,0)),VLOOKUP($B34,#REF!,3,0),"")</f>
        <v/>
      </c>
      <c r="AH34" s="599" t="str">
        <f>IF(ISNUMBER(VLOOKUP($B34,#REF!,4,0)),VLOOKUP($B34,#REF!,4,0),"")</f>
        <v/>
      </c>
      <c r="AI34" s="599" t="str">
        <f>IF(ISNUMBER(VLOOKUP($B34,#REF!,5,0)),VLOOKUP($B34,#REF!,5,0),"")</f>
        <v/>
      </c>
      <c r="AJ34" s="599" t="str">
        <f>IF(ISNUMBER(VLOOKUP($B34,#REF!,6,0)),VLOOKUP($B34,#REF!,6,0),"")</f>
        <v/>
      </c>
      <c r="AK34" s="599" t="str">
        <f>VLOOKUP($B34,Skörd!$D$5:$M$72,7,0)</f>
        <v/>
      </c>
    </row>
    <row r="35" spans="2:37" hidden="1" x14ac:dyDescent="0.2">
      <c r="B35" s="596" t="s">
        <v>1047</v>
      </c>
      <c r="C35" s="598" t="str">
        <f>IF(ISNUMBER(VLOOKUP($B35,'F1'!$D$6:$G$73,2,0)),VLOOKUP($B35,'F1'!$D$6:$G$73,2,0),"")</f>
        <v/>
      </c>
      <c r="D35" s="599" t="str">
        <f>IF(ISNUMBER(VLOOKUP($B35,'F1'!$D$6:$G$73,3,0)),VLOOKUP($B35,'F1'!$D$6:$G$73,3,0),"")</f>
        <v/>
      </c>
      <c r="E35" s="599" t="str">
        <f>IF(ISNUMBER(VLOOKUP($B35,'F1'!$D$6:$G$73,4,0)),VLOOKUP($B35,'F1'!$D$6:$G$73,4,0),"")</f>
        <v/>
      </c>
      <c r="F35" s="598" t="str">
        <f>IF(ISNUMBER(VLOOKUP($B35,'F2'!$D$6:$G$73,2,0)),VLOOKUP($B35,'F2'!$D$6:$G$73,2,0),"")</f>
        <v/>
      </c>
      <c r="G35" s="599" t="str">
        <f>IF(ISNUMBER(VLOOKUP($B35,'F2'!$D$6:$G$73,3,0)),VLOOKUP($B35,'F2'!$D$6:$G$73,3,0),"")</f>
        <v/>
      </c>
      <c r="H35" s="599" t="str">
        <f>IF(ISNUMBER(VLOOKUP($B35,'F2'!$D$6:$G$73,4,0)),VLOOKUP($B35,'F2'!$D$6:$G$73,4,0),"")</f>
        <v/>
      </c>
      <c r="I35" s="598" t="str">
        <f>IF(ISNUMBER(VLOOKUP($B35,#REF!,2,0)),VLOOKUP($B35,#REF!,2,0),"")</f>
        <v/>
      </c>
      <c r="J35" s="599" t="str">
        <f>IF(ISNUMBER(VLOOKUP($B35,#REF!,3,0)),VLOOKUP($B35,#REF!,3,0),"")</f>
        <v/>
      </c>
      <c r="K35" s="599" t="str">
        <f>IF(ISNUMBER(VLOOKUP($B35,#REF!,4,0)),VLOOKUP($B35,#REF!,4,0),"")</f>
        <v/>
      </c>
      <c r="L35" s="598" t="str">
        <f>IF(ISNUMBER(VLOOKUP($B35,'G1'!$D$7:$M$74,2,0)),VLOOKUP($B35,'G1'!$D$7:$M$74,2,0),"")</f>
        <v/>
      </c>
      <c r="M35" s="599" t="str">
        <f>IF(ISNUMBER(VLOOKUP($B35,'G1'!$D$7:$M$74,3,0)),VLOOKUP($B35,'G1'!$D$7:$M$74,3,0),"")</f>
        <v/>
      </c>
      <c r="N35" s="599" t="str">
        <f>IF(ISNUMBER(VLOOKUP($B35,'G1'!$D$7:$M$74,4,0)),VLOOKUP($B35,'G1'!$D$7:$M$74,4,0),"")</f>
        <v/>
      </c>
      <c r="O35" s="599" t="str">
        <f>IF(ISNUMBER(VLOOKUP($B35,'G1'!$D$7:$M$74,5,0)),VLOOKUP($B35,'G1'!$D$7:$M$74,5,0),"")</f>
        <v/>
      </c>
      <c r="P35" s="599" t="str">
        <f>IF(ISNUMBER(VLOOKUP($B35,'G1'!$D$7:$M$74,6,0)),VLOOKUP($B35,'G1'!$D$7:$M$74,6,0),"")</f>
        <v/>
      </c>
      <c r="Q35" s="598" t="str">
        <f>IF(ISNUMBER(VLOOKUP($B35,'G2'!$D$7:$M$74,2,0)),VLOOKUP($B35,'G2'!$D$7:$M$74,2,0),"")</f>
        <v/>
      </c>
      <c r="R35" s="599" t="str">
        <f>IF(ISNUMBER(VLOOKUP($B35,'G2'!$D$7:$M$74,3,0)),VLOOKUP($B35,'G2'!$D$7:$M$74,3,0),"")</f>
        <v/>
      </c>
      <c r="S35" s="599" t="str">
        <f>IF(ISNUMBER(VLOOKUP($B35,'G2'!$D$7:$M$74,4,0)),VLOOKUP($B35,'G2'!$D$7:$M$74,4,0),"")</f>
        <v/>
      </c>
      <c r="T35" s="599" t="str">
        <f>IF(ISNUMBER(VLOOKUP($B35,'G2'!$D$7:$M$74,5,0)),VLOOKUP($B35,'G2'!$D$7:$M$74,5,0),"")</f>
        <v/>
      </c>
      <c r="U35" s="599" t="str">
        <f>IF(ISNUMBER(VLOOKUP($B35,'G2'!$D$7:$M$74,6,0)),VLOOKUP($B35,'G2'!$D$7:$M$74,6,0),"")</f>
        <v/>
      </c>
      <c r="V35" s="598" t="str">
        <f>IF(ISNUMBER(VLOOKUP($B35,'G3'!$D$7:$M$74,2,0)),VLOOKUP($B35,'G3'!$D$7:$M$74,2,0),"")</f>
        <v/>
      </c>
      <c r="W35" s="599" t="str">
        <f>IF(ISNUMBER(VLOOKUP($B35,'G3'!$D$7:$M$74,3,0)),VLOOKUP($B35,'G3'!$D$7:$M$74,3,0),"")</f>
        <v/>
      </c>
      <c r="X35" s="599" t="str">
        <f>IF(ISNUMBER(VLOOKUP($B35,'G3'!$D$7:$M$74,4,0)),VLOOKUP($B35,'G3'!$D$7:$M$74,4,0),"")</f>
        <v/>
      </c>
      <c r="Y35" s="599" t="str">
        <f>IF(ISNUMBER(VLOOKUP($B35,'G3'!$D$7:$M$74,5,0)),VLOOKUP($B35,'G3'!$D$7:$M$74,5,0),"")</f>
        <v/>
      </c>
      <c r="Z35" s="599" t="str">
        <f>IF(ISNUMBER(VLOOKUP($B35,'G3'!$D$7:$M$74,6,0)),VLOOKUP($B35,'G3'!$D$7:$M$74,6,0),"")</f>
        <v/>
      </c>
      <c r="AA35" s="598" t="str">
        <f>IF(ISNUMBER(VLOOKUP($B35,#REF!,2,0)),VLOOKUP($B35,#REF!,2,0),"")</f>
        <v/>
      </c>
      <c r="AB35" s="599" t="str">
        <f>IF(ISNUMBER(VLOOKUP($B35,#REF!,3,0)),VLOOKUP($B35,#REF!,3,0),"")</f>
        <v/>
      </c>
      <c r="AC35" s="599" t="str">
        <f>IF(ISNUMBER(VLOOKUP($B35,#REF!,4,0)),VLOOKUP($B35,#REF!,4,0),"")</f>
        <v/>
      </c>
      <c r="AD35" s="599" t="str">
        <f>IF(ISNUMBER(VLOOKUP($B35,#REF!,5,0)),VLOOKUP($B35,#REF!,5,0),"")</f>
        <v/>
      </c>
      <c r="AE35" s="599" t="str">
        <f>IF(ISNUMBER(VLOOKUP($B35,#REF!,6,0)),VLOOKUP($B35,#REF!,6,0),"")</f>
        <v/>
      </c>
      <c r="AF35" s="598" t="str">
        <f>IF(ISNUMBER(VLOOKUP($B35,#REF!,2,0)),VLOOKUP($B35,#REF!,2,0),"")</f>
        <v/>
      </c>
      <c r="AG35" s="599" t="str">
        <f>IF(ISNUMBER(VLOOKUP($B35,#REF!,3,0)),VLOOKUP($B35,#REF!,3,0),"")</f>
        <v/>
      </c>
      <c r="AH35" s="599" t="str">
        <f>IF(ISNUMBER(VLOOKUP($B35,#REF!,4,0)),VLOOKUP($B35,#REF!,4,0),"")</f>
        <v/>
      </c>
      <c r="AI35" s="599" t="str">
        <f>IF(ISNUMBER(VLOOKUP($B35,#REF!,5,0)),VLOOKUP($B35,#REF!,5,0),"")</f>
        <v/>
      </c>
      <c r="AJ35" s="599" t="str">
        <f>IF(ISNUMBER(VLOOKUP($B35,#REF!,6,0)),VLOOKUP($B35,#REF!,6,0),"")</f>
        <v/>
      </c>
      <c r="AK35" s="599" t="str">
        <f>VLOOKUP($B35,Skörd!$D$5:$M$72,7,0)</f>
        <v/>
      </c>
    </row>
    <row r="36" spans="2:37" hidden="1" x14ac:dyDescent="0.2">
      <c r="B36" s="596" t="s">
        <v>1048</v>
      </c>
      <c r="C36" s="598" t="str">
        <f>IF(ISNUMBER(VLOOKUP($B36,'F1'!$D$6:$G$73,2,0)),VLOOKUP($B36,'F1'!$D$6:$G$73,2,0),"")</f>
        <v/>
      </c>
      <c r="D36" s="599" t="str">
        <f>IF(ISNUMBER(VLOOKUP($B36,'F1'!$D$6:$G$73,3,0)),VLOOKUP($B36,'F1'!$D$6:$G$73,3,0),"")</f>
        <v/>
      </c>
      <c r="E36" s="599" t="str">
        <f>IF(ISNUMBER(VLOOKUP($B36,'F1'!$D$6:$G$73,4,0)),VLOOKUP($B36,'F1'!$D$6:$G$73,4,0),"")</f>
        <v/>
      </c>
      <c r="F36" s="598" t="str">
        <f>IF(ISNUMBER(VLOOKUP($B36,'F2'!$D$6:$G$73,2,0)),VLOOKUP($B36,'F2'!$D$6:$G$73,2,0),"")</f>
        <v/>
      </c>
      <c r="G36" s="599" t="str">
        <f>IF(ISNUMBER(VLOOKUP($B36,'F2'!$D$6:$G$73,3,0)),VLOOKUP($B36,'F2'!$D$6:$G$73,3,0),"")</f>
        <v/>
      </c>
      <c r="H36" s="599" t="str">
        <f>IF(ISNUMBER(VLOOKUP($B36,'F2'!$D$6:$G$73,4,0)),VLOOKUP($B36,'F2'!$D$6:$G$73,4,0),"")</f>
        <v/>
      </c>
      <c r="I36" s="598" t="str">
        <f>IF(ISNUMBER(VLOOKUP($B36,#REF!,2,0)),VLOOKUP($B36,#REF!,2,0),"")</f>
        <v/>
      </c>
      <c r="J36" s="599" t="str">
        <f>IF(ISNUMBER(VLOOKUP($B36,#REF!,3,0)),VLOOKUP($B36,#REF!,3,0),"")</f>
        <v/>
      </c>
      <c r="K36" s="599" t="str">
        <f>IF(ISNUMBER(VLOOKUP($B36,#REF!,4,0)),VLOOKUP($B36,#REF!,4,0),"")</f>
        <v/>
      </c>
      <c r="L36" s="598" t="str">
        <f>IF(ISNUMBER(VLOOKUP($B36,'G1'!$D$7:$M$74,2,0)),VLOOKUP($B36,'G1'!$D$7:$M$74,2,0),"")</f>
        <v/>
      </c>
      <c r="M36" s="599" t="str">
        <f>IF(ISNUMBER(VLOOKUP($B36,'G1'!$D$7:$M$74,3,0)),VLOOKUP($B36,'G1'!$D$7:$M$74,3,0),"")</f>
        <v/>
      </c>
      <c r="N36" s="599" t="str">
        <f>IF(ISNUMBER(VLOOKUP($B36,'G1'!$D$7:$M$74,4,0)),VLOOKUP($B36,'G1'!$D$7:$M$74,4,0),"")</f>
        <v/>
      </c>
      <c r="O36" s="599" t="str">
        <f>IF(ISNUMBER(VLOOKUP($B36,'G1'!$D$7:$M$74,5,0)),VLOOKUP($B36,'G1'!$D$7:$M$74,5,0),"")</f>
        <v/>
      </c>
      <c r="P36" s="599" t="str">
        <f>IF(ISNUMBER(VLOOKUP($B36,'G1'!$D$7:$M$74,6,0)),VLOOKUP($B36,'G1'!$D$7:$M$74,6,0),"")</f>
        <v/>
      </c>
      <c r="Q36" s="598" t="str">
        <f>IF(ISNUMBER(VLOOKUP($B36,'G2'!$D$7:$M$74,2,0)),VLOOKUP($B36,'G2'!$D$7:$M$74,2,0),"")</f>
        <v/>
      </c>
      <c r="R36" s="599" t="str">
        <f>IF(ISNUMBER(VLOOKUP($B36,'G2'!$D$7:$M$74,3,0)),VLOOKUP($B36,'G2'!$D$7:$M$74,3,0),"")</f>
        <v/>
      </c>
      <c r="S36" s="599" t="str">
        <f>IF(ISNUMBER(VLOOKUP($B36,'G2'!$D$7:$M$74,4,0)),VLOOKUP($B36,'G2'!$D$7:$M$74,4,0),"")</f>
        <v/>
      </c>
      <c r="T36" s="599" t="str">
        <f>IF(ISNUMBER(VLOOKUP($B36,'G2'!$D$7:$M$74,5,0)),VLOOKUP($B36,'G2'!$D$7:$M$74,5,0),"")</f>
        <v/>
      </c>
      <c r="U36" s="599" t="str">
        <f>IF(ISNUMBER(VLOOKUP($B36,'G2'!$D$7:$M$74,6,0)),VLOOKUP($B36,'G2'!$D$7:$M$74,6,0),"")</f>
        <v/>
      </c>
      <c r="V36" s="598" t="str">
        <f>IF(ISNUMBER(VLOOKUP($B36,'G3'!$D$7:$M$74,2,0)),VLOOKUP($B36,'G3'!$D$7:$M$74,2,0),"")</f>
        <v/>
      </c>
      <c r="W36" s="599" t="str">
        <f>IF(ISNUMBER(VLOOKUP($B36,'G3'!$D$7:$M$74,3,0)),VLOOKUP($B36,'G3'!$D$7:$M$74,3,0),"")</f>
        <v/>
      </c>
      <c r="X36" s="599" t="str">
        <f>IF(ISNUMBER(VLOOKUP($B36,'G3'!$D$7:$M$74,4,0)),VLOOKUP($B36,'G3'!$D$7:$M$74,4,0),"")</f>
        <v/>
      </c>
      <c r="Y36" s="599" t="str">
        <f>IF(ISNUMBER(VLOOKUP($B36,'G3'!$D$7:$M$74,5,0)),VLOOKUP($B36,'G3'!$D$7:$M$74,5,0),"")</f>
        <v/>
      </c>
      <c r="Z36" s="599" t="str">
        <f>IF(ISNUMBER(VLOOKUP($B36,'G3'!$D$7:$M$74,6,0)),VLOOKUP($B36,'G3'!$D$7:$M$74,6,0),"")</f>
        <v/>
      </c>
      <c r="AA36" s="598" t="str">
        <f>IF(ISNUMBER(VLOOKUP($B36,#REF!,2,0)),VLOOKUP($B36,#REF!,2,0),"")</f>
        <v/>
      </c>
      <c r="AB36" s="599" t="str">
        <f>IF(ISNUMBER(VLOOKUP($B36,#REF!,3,0)),VLOOKUP($B36,#REF!,3,0),"")</f>
        <v/>
      </c>
      <c r="AC36" s="599" t="str">
        <f>IF(ISNUMBER(VLOOKUP($B36,#REF!,4,0)),VLOOKUP($B36,#REF!,4,0),"")</f>
        <v/>
      </c>
      <c r="AD36" s="599" t="str">
        <f>IF(ISNUMBER(VLOOKUP($B36,#REF!,5,0)),VLOOKUP($B36,#REF!,5,0),"")</f>
        <v/>
      </c>
      <c r="AE36" s="599" t="str">
        <f>IF(ISNUMBER(VLOOKUP($B36,#REF!,6,0)),VLOOKUP($B36,#REF!,6,0),"")</f>
        <v/>
      </c>
      <c r="AF36" s="598" t="str">
        <f>IF(ISNUMBER(VLOOKUP($B36,#REF!,2,0)),VLOOKUP($B36,#REF!,2,0),"")</f>
        <v/>
      </c>
      <c r="AG36" s="599" t="str">
        <f>IF(ISNUMBER(VLOOKUP($B36,#REF!,3,0)),VLOOKUP($B36,#REF!,3,0),"")</f>
        <v/>
      </c>
      <c r="AH36" s="599" t="str">
        <f>IF(ISNUMBER(VLOOKUP($B36,#REF!,4,0)),VLOOKUP($B36,#REF!,4,0),"")</f>
        <v/>
      </c>
      <c r="AI36" s="599" t="str">
        <f>IF(ISNUMBER(VLOOKUP($B36,#REF!,5,0)),VLOOKUP($B36,#REF!,5,0),"")</f>
        <v/>
      </c>
      <c r="AJ36" s="599" t="str">
        <f>IF(ISNUMBER(VLOOKUP($B36,#REF!,6,0)),VLOOKUP($B36,#REF!,6,0),"")</f>
        <v/>
      </c>
      <c r="AK36" s="599" t="str">
        <f>VLOOKUP($B36,Skörd!$D$5:$M$72,7,0)</f>
        <v/>
      </c>
    </row>
    <row r="37" spans="2:37" hidden="1" x14ac:dyDescent="0.2">
      <c r="B37" s="596" t="s">
        <v>1049</v>
      </c>
      <c r="C37" s="598" t="str">
        <f>IF(ISNUMBER(VLOOKUP($B37,'F1'!$D$6:$G$73,2,0)),VLOOKUP($B37,'F1'!$D$6:$G$73,2,0),"")</f>
        <v/>
      </c>
      <c r="D37" s="599" t="str">
        <f>IF(ISNUMBER(VLOOKUP($B37,'F1'!$D$6:$G$73,3,0)),VLOOKUP($B37,'F1'!$D$6:$G$73,3,0),"")</f>
        <v/>
      </c>
      <c r="E37" s="599" t="str">
        <f>IF(ISNUMBER(VLOOKUP($B37,'F1'!$D$6:$G$73,4,0)),VLOOKUP($B37,'F1'!$D$6:$G$73,4,0),"")</f>
        <v/>
      </c>
      <c r="F37" s="598" t="str">
        <f>IF(ISNUMBER(VLOOKUP($B37,'F2'!$D$6:$G$73,2,0)),VLOOKUP($B37,'F2'!$D$6:$G$73,2,0),"")</f>
        <v/>
      </c>
      <c r="G37" s="599" t="str">
        <f>IF(ISNUMBER(VLOOKUP($B37,'F2'!$D$6:$G$73,3,0)),VLOOKUP($B37,'F2'!$D$6:$G$73,3,0),"")</f>
        <v/>
      </c>
      <c r="H37" s="599" t="str">
        <f>IF(ISNUMBER(VLOOKUP($B37,'F2'!$D$6:$G$73,4,0)),VLOOKUP($B37,'F2'!$D$6:$G$73,4,0),"")</f>
        <v/>
      </c>
      <c r="I37" s="598" t="str">
        <f>IF(ISNUMBER(VLOOKUP($B37,#REF!,2,0)),VLOOKUP($B37,#REF!,2,0),"")</f>
        <v/>
      </c>
      <c r="J37" s="599" t="str">
        <f>IF(ISNUMBER(VLOOKUP($B37,#REF!,3,0)),VLOOKUP($B37,#REF!,3,0),"")</f>
        <v/>
      </c>
      <c r="K37" s="599" t="str">
        <f>IF(ISNUMBER(VLOOKUP($B37,#REF!,4,0)),VLOOKUP($B37,#REF!,4,0),"")</f>
        <v/>
      </c>
      <c r="L37" s="598" t="str">
        <f>IF(ISNUMBER(VLOOKUP($B37,'G1'!$D$7:$M$74,2,0)),VLOOKUP($B37,'G1'!$D$7:$M$74,2,0),"")</f>
        <v/>
      </c>
      <c r="M37" s="599" t="str">
        <f>IF(ISNUMBER(VLOOKUP($B37,'G1'!$D$7:$M$74,3,0)),VLOOKUP($B37,'G1'!$D$7:$M$74,3,0),"")</f>
        <v/>
      </c>
      <c r="N37" s="599" t="str">
        <f>IF(ISNUMBER(VLOOKUP($B37,'G1'!$D$7:$M$74,4,0)),VLOOKUP($B37,'G1'!$D$7:$M$74,4,0),"")</f>
        <v/>
      </c>
      <c r="O37" s="599" t="str">
        <f>IF(ISNUMBER(VLOOKUP($B37,'G1'!$D$7:$M$74,5,0)),VLOOKUP($B37,'G1'!$D$7:$M$74,5,0),"")</f>
        <v/>
      </c>
      <c r="P37" s="599" t="str">
        <f>IF(ISNUMBER(VLOOKUP($B37,'G1'!$D$7:$M$74,6,0)),VLOOKUP($B37,'G1'!$D$7:$M$74,6,0),"")</f>
        <v/>
      </c>
      <c r="Q37" s="598" t="str">
        <f>IF(ISNUMBER(VLOOKUP($B37,'G2'!$D$7:$M$74,2,0)),VLOOKUP($B37,'G2'!$D$7:$M$74,2,0),"")</f>
        <v/>
      </c>
      <c r="R37" s="599" t="str">
        <f>IF(ISNUMBER(VLOOKUP($B37,'G2'!$D$7:$M$74,3,0)),VLOOKUP($B37,'G2'!$D$7:$M$74,3,0),"")</f>
        <v/>
      </c>
      <c r="S37" s="599" t="str">
        <f>IF(ISNUMBER(VLOOKUP($B37,'G2'!$D$7:$M$74,4,0)),VLOOKUP($B37,'G2'!$D$7:$M$74,4,0),"")</f>
        <v/>
      </c>
      <c r="T37" s="599" t="str">
        <f>IF(ISNUMBER(VLOOKUP($B37,'G2'!$D$7:$M$74,5,0)),VLOOKUP($B37,'G2'!$D$7:$M$74,5,0),"")</f>
        <v/>
      </c>
      <c r="U37" s="599" t="str">
        <f>IF(ISNUMBER(VLOOKUP($B37,'G2'!$D$7:$M$74,6,0)),VLOOKUP($B37,'G2'!$D$7:$M$74,6,0),"")</f>
        <v/>
      </c>
      <c r="V37" s="598" t="str">
        <f>IF(ISNUMBER(VLOOKUP($B37,'G3'!$D$7:$M$74,2,0)),VLOOKUP($B37,'G3'!$D$7:$M$74,2,0),"")</f>
        <v/>
      </c>
      <c r="W37" s="599" t="str">
        <f>IF(ISNUMBER(VLOOKUP($B37,'G3'!$D$7:$M$74,3,0)),VLOOKUP($B37,'G3'!$D$7:$M$74,3,0),"")</f>
        <v/>
      </c>
      <c r="X37" s="599" t="str">
        <f>IF(ISNUMBER(VLOOKUP($B37,'G3'!$D$7:$M$74,4,0)),VLOOKUP($B37,'G3'!$D$7:$M$74,4,0),"")</f>
        <v/>
      </c>
      <c r="Y37" s="599" t="str">
        <f>IF(ISNUMBER(VLOOKUP($B37,'G3'!$D$7:$M$74,5,0)),VLOOKUP($B37,'G3'!$D$7:$M$74,5,0),"")</f>
        <v/>
      </c>
      <c r="Z37" s="599" t="str">
        <f>IF(ISNUMBER(VLOOKUP($B37,'G3'!$D$7:$M$74,6,0)),VLOOKUP($B37,'G3'!$D$7:$M$74,6,0),"")</f>
        <v/>
      </c>
      <c r="AA37" s="598" t="str">
        <f>IF(ISNUMBER(VLOOKUP($B37,#REF!,2,0)),VLOOKUP($B37,#REF!,2,0),"")</f>
        <v/>
      </c>
      <c r="AB37" s="599" t="str">
        <f>IF(ISNUMBER(VLOOKUP($B37,#REF!,3,0)),VLOOKUP($B37,#REF!,3,0),"")</f>
        <v/>
      </c>
      <c r="AC37" s="599" t="str">
        <f>IF(ISNUMBER(VLOOKUP($B37,#REF!,4,0)),VLOOKUP($B37,#REF!,4,0),"")</f>
        <v/>
      </c>
      <c r="AD37" s="599" t="str">
        <f>IF(ISNUMBER(VLOOKUP($B37,#REF!,5,0)),VLOOKUP($B37,#REF!,5,0),"")</f>
        <v/>
      </c>
      <c r="AE37" s="599" t="str">
        <f>IF(ISNUMBER(VLOOKUP($B37,#REF!,6,0)),VLOOKUP($B37,#REF!,6,0),"")</f>
        <v/>
      </c>
      <c r="AF37" s="598" t="str">
        <f>IF(ISNUMBER(VLOOKUP($B37,#REF!,2,0)),VLOOKUP($B37,#REF!,2,0),"")</f>
        <v/>
      </c>
      <c r="AG37" s="599" t="str">
        <f>IF(ISNUMBER(VLOOKUP($B37,#REF!,3,0)),VLOOKUP($B37,#REF!,3,0),"")</f>
        <v/>
      </c>
      <c r="AH37" s="599" t="str">
        <f>IF(ISNUMBER(VLOOKUP($B37,#REF!,4,0)),VLOOKUP($B37,#REF!,4,0),"")</f>
        <v/>
      </c>
      <c r="AI37" s="599" t="str">
        <f>IF(ISNUMBER(VLOOKUP($B37,#REF!,5,0)),VLOOKUP($B37,#REF!,5,0),"")</f>
        <v/>
      </c>
      <c r="AJ37" s="599" t="str">
        <f>IF(ISNUMBER(VLOOKUP($B37,#REF!,6,0)),VLOOKUP($B37,#REF!,6,0),"")</f>
        <v/>
      </c>
      <c r="AK37" s="599" t="str">
        <f>VLOOKUP($B37,Skörd!$D$5:$M$72,7,0)</f>
        <v/>
      </c>
    </row>
    <row r="38" spans="2:37" hidden="1" x14ac:dyDescent="0.2">
      <c r="B38" s="596" t="s">
        <v>1050</v>
      </c>
      <c r="C38" s="598" t="str">
        <f>IF(ISNUMBER(VLOOKUP($B38,'F1'!$D$6:$G$73,2,0)),VLOOKUP($B38,'F1'!$D$6:$G$73,2,0),"")</f>
        <v/>
      </c>
      <c r="D38" s="599" t="str">
        <f>IF(ISNUMBER(VLOOKUP($B38,'F1'!$D$6:$G$73,3,0)),VLOOKUP($B38,'F1'!$D$6:$G$73,3,0),"")</f>
        <v/>
      </c>
      <c r="E38" s="599" t="str">
        <f>IF(ISNUMBER(VLOOKUP($B38,'F1'!$D$6:$G$73,4,0)),VLOOKUP($B38,'F1'!$D$6:$G$73,4,0),"")</f>
        <v/>
      </c>
      <c r="F38" s="598" t="str">
        <f>IF(ISNUMBER(VLOOKUP($B38,'F2'!$D$6:$G$73,2,0)),VLOOKUP($B38,'F2'!$D$6:$G$73,2,0),"")</f>
        <v/>
      </c>
      <c r="G38" s="599" t="str">
        <f>IF(ISNUMBER(VLOOKUP($B38,'F2'!$D$6:$G$73,3,0)),VLOOKUP($B38,'F2'!$D$6:$G$73,3,0),"")</f>
        <v/>
      </c>
      <c r="H38" s="599" t="str">
        <f>IF(ISNUMBER(VLOOKUP($B38,'F2'!$D$6:$G$73,4,0)),VLOOKUP($B38,'F2'!$D$6:$G$73,4,0),"")</f>
        <v/>
      </c>
      <c r="I38" s="598" t="str">
        <f>IF(ISNUMBER(VLOOKUP($B38,#REF!,2,0)),VLOOKUP($B38,#REF!,2,0),"")</f>
        <v/>
      </c>
      <c r="J38" s="599" t="str">
        <f>IF(ISNUMBER(VLOOKUP($B38,#REF!,3,0)),VLOOKUP($B38,#REF!,3,0),"")</f>
        <v/>
      </c>
      <c r="K38" s="599" t="str">
        <f>IF(ISNUMBER(VLOOKUP($B38,#REF!,4,0)),VLOOKUP($B38,#REF!,4,0),"")</f>
        <v/>
      </c>
      <c r="L38" s="598" t="str">
        <f>IF(ISNUMBER(VLOOKUP($B38,'G1'!$D$7:$M$74,2,0)),VLOOKUP($B38,'G1'!$D$7:$M$74,2,0),"")</f>
        <v/>
      </c>
      <c r="M38" s="599" t="str">
        <f>IF(ISNUMBER(VLOOKUP($B38,'G1'!$D$7:$M$74,3,0)),VLOOKUP($B38,'G1'!$D$7:$M$74,3,0),"")</f>
        <v/>
      </c>
      <c r="N38" s="599" t="str">
        <f>IF(ISNUMBER(VLOOKUP($B38,'G1'!$D$7:$M$74,4,0)),VLOOKUP($B38,'G1'!$D$7:$M$74,4,0),"")</f>
        <v/>
      </c>
      <c r="O38" s="599" t="str">
        <f>IF(ISNUMBER(VLOOKUP($B38,'G1'!$D$7:$M$74,5,0)),VLOOKUP($B38,'G1'!$D$7:$M$74,5,0),"")</f>
        <v/>
      </c>
      <c r="P38" s="599" t="str">
        <f>IF(ISNUMBER(VLOOKUP($B38,'G1'!$D$7:$M$74,6,0)),VLOOKUP($B38,'G1'!$D$7:$M$74,6,0),"")</f>
        <v/>
      </c>
      <c r="Q38" s="598" t="str">
        <f>IF(ISNUMBER(VLOOKUP($B38,'G2'!$D$7:$M$74,2,0)),VLOOKUP($B38,'G2'!$D$7:$M$74,2,0),"")</f>
        <v/>
      </c>
      <c r="R38" s="599" t="str">
        <f>IF(ISNUMBER(VLOOKUP($B38,'G2'!$D$7:$M$74,3,0)),VLOOKUP($B38,'G2'!$D$7:$M$74,3,0),"")</f>
        <v/>
      </c>
      <c r="S38" s="599" t="str">
        <f>IF(ISNUMBER(VLOOKUP($B38,'G2'!$D$7:$M$74,4,0)),VLOOKUP($B38,'G2'!$D$7:$M$74,4,0),"")</f>
        <v/>
      </c>
      <c r="T38" s="599" t="str">
        <f>IF(ISNUMBER(VLOOKUP($B38,'G2'!$D$7:$M$74,5,0)),VLOOKUP($B38,'G2'!$D$7:$M$74,5,0),"")</f>
        <v/>
      </c>
      <c r="U38" s="599" t="str">
        <f>IF(ISNUMBER(VLOOKUP($B38,'G2'!$D$7:$M$74,6,0)),VLOOKUP($B38,'G2'!$D$7:$M$74,6,0),"")</f>
        <v/>
      </c>
      <c r="V38" s="598" t="str">
        <f>IF(ISNUMBER(VLOOKUP($B38,'G3'!$D$7:$M$74,2,0)),VLOOKUP($B38,'G3'!$D$7:$M$74,2,0),"")</f>
        <v/>
      </c>
      <c r="W38" s="599" t="str">
        <f>IF(ISNUMBER(VLOOKUP($B38,'G3'!$D$7:$M$74,3,0)),VLOOKUP($B38,'G3'!$D$7:$M$74,3,0),"")</f>
        <v/>
      </c>
      <c r="X38" s="599" t="str">
        <f>IF(ISNUMBER(VLOOKUP($B38,'G3'!$D$7:$M$74,4,0)),VLOOKUP($B38,'G3'!$D$7:$M$74,4,0),"")</f>
        <v/>
      </c>
      <c r="Y38" s="599" t="str">
        <f>IF(ISNUMBER(VLOOKUP($B38,'G3'!$D$7:$M$74,5,0)),VLOOKUP($B38,'G3'!$D$7:$M$74,5,0),"")</f>
        <v/>
      </c>
      <c r="Z38" s="599" t="str">
        <f>IF(ISNUMBER(VLOOKUP($B38,'G3'!$D$7:$M$74,6,0)),VLOOKUP($B38,'G3'!$D$7:$M$74,6,0),"")</f>
        <v/>
      </c>
      <c r="AA38" s="598" t="str">
        <f>IF(ISNUMBER(VLOOKUP($B38,#REF!,2,0)),VLOOKUP($B38,#REF!,2,0),"")</f>
        <v/>
      </c>
      <c r="AB38" s="599" t="str">
        <f>IF(ISNUMBER(VLOOKUP($B38,#REF!,3,0)),VLOOKUP($B38,#REF!,3,0),"")</f>
        <v/>
      </c>
      <c r="AC38" s="599" t="str">
        <f>IF(ISNUMBER(VLOOKUP($B38,#REF!,4,0)),VLOOKUP($B38,#REF!,4,0),"")</f>
        <v/>
      </c>
      <c r="AD38" s="599" t="str">
        <f>IF(ISNUMBER(VLOOKUP($B38,#REF!,5,0)),VLOOKUP($B38,#REF!,5,0),"")</f>
        <v/>
      </c>
      <c r="AE38" s="599" t="str">
        <f>IF(ISNUMBER(VLOOKUP($B38,#REF!,6,0)),VLOOKUP($B38,#REF!,6,0),"")</f>
        <v/>
      </c>
      <c r="AF38" s="598" t="str">
        <f>IF(ISNUMBER(VLOOKUP($B38,#REF!,2,0)),VLOOKUP($B38,#REF!,2,0),"")</f>
        <v/>
      </c>
      <c r="AG38" s="599" t="str">
        <f>IF(ISNUMBER(VLOOKUP($B38,#REF!,3,0)),VLOOKUP($B38,#REF!,3,0),"")</f>
        <v/>
      </c>
      <c r="AH38" s="599" t="str">
        <f>IF(ISNUMBER(VLOOKUP($B38,#REF!,4,0)),VLOOKUP($B38,#REF!,4,0),"")</f>
        <v/>
      </c>
      <c r="AI38" s="599" t="str">
        <f>IF(ISNUMBER(VLOOKUP($B38,#REF!,5,0)),VLOOKUP($B38,#REF!,5,0),"")</f>
        <v/>
      </c>
      <c r="AJ38" s="599" t="str">
        <f>IF(ISNUMBER(VLOOKUP($B38,#REF!,6,0)),VLOOKUP($B38,#REF!,6,0),"")</f>
        <v/>
      </c>
      <c r="AK38" s="599" t="str">
        <f>VLOOKUP($B38,Skörd!$D$5:$M$72,7,0)</f>
        <v/>
      </c>
    </row>
    <row r="39" spans="2:37" hidden="1" x14ac:dyDescent="0.2">
      <c r="B39" s="596" t="s">
        <v>1051</v>
      </c>
      <c r="C39" s="598" t="str">
        <f>IF(ISNUMBER(VLOOKUP($B39,'F1'!$D$6:$G$73,2,0)),VLOOKUP($B39,'F1'!$D$6:$G$73,2,0),"")</f>
        <v/>
      </c>
      <c r="D39" s="599" t="str">
        <f>IF(ISNUMBER(VLOOKUP($B39,'F1'!$D$6:$G$73,3,0)),VLOOKUP($B39,'F1'!$D$6:$G$73,3,0),"")</f>
        <v/>
      </c>
      <c r="E39" s="599" t="str">
        <f>IF(ISNUMBER(VLOOKUP($B39,'F1'!$D$6:$G$73,4,0)),VLOOKUP($B39,'F1'!$D$6:$G$73,4,0),"")</f>
        <v/>
      </c>
      <c r="F39" s="598" t="str">
        <f>IF(ISNUMBER(VLOOKUP($B39,'F2'!$D$6:$G$73,2,0)),VLOOKUP($B39,'F2'!$D$6:$G$73,2,0),"")</f>
        <v/>
      </c>
      <c r="G39" s="599" t="str">
        <f>IF(ISNUMBER(VLOOKUP($B39,'F2'!$D$6:$G$73,3,0)),VLOOKUP($B39,'F2'!$D$6:$G$73,3,0),"")</f>
        <v/>
      </c>
      <c r="H39" s="599" t="str">
        <f>IF(ISNUMBER(VLOOKUP($B39,'F2'!$D$6:$G$73,4,0)),VLOOKUP($B39,'F2'!$D$6:$G$73,4,0),"")</f>
        <v/>
      </c>
      <c r="I39" s="598" t="str">
        <f>IF(ISNUMBER(VLOOKUP($B39,#REF!,2,0)),VLOOKUP($B39,#REF!,2,0),"")</f>
        <v/>
      </c>
      <c r="J39" s="599" t="str">
        <f>IF(ISNUMBER(VLOOKUP($B39,#REF!,3,0)),VLOOKUP($B39,#REF!,3,0),"")</f>
        <v/>
      </c>
      <c r="K39" s="599" t="str">
        <f>IF(ISNUMBER(VLOOKUP($B39,#REF!,4,0)),VLOOKUP($B39,#REF!,4,0),"")</f>
        <v/>
      </c>
      <c r="L39" s="598" t="str">
        <f>IF(ISNUMBER(VLOOKUP($B39,'G1'!$D$7:$M$74,2,0)),VLOOKUP($B39,'G1'!$D$7:$M$74,2,0),"")</f>
        <v/>
      </c>
      <c r="M39" s="599" t="str">
        <f>IF(ISNUMBER(VLOOKUP($B39,'G1'!$D$7:$M$74,3,0)),VLOOKUP($B39,'G1'!$D$7:$M$74,3,0),"")</f>
        <v/>
      </c>
      <c r="N39" s="599" t="str">
        <f>IF(ISNUMBER(VLOOKUP($B39,'G1'!$D$7:$M$74,4,0)),VLOOKUP($B39,'G1'!$D$7:$M$74,4,0),"")</f>
        <v/>
      </c>
      <c r="O39" s="599" t="str">
        <f>IF(ISNUMBER(VLOOKUP($B39,'G1'!$D$7:$M$74,5,0)),VLOOKUP($B39,'G1'!$D$7:$M$74,5,0),"")</f>
        <v/>
      </c>
      <c r="P39" s="599" t="str">
        <f>IF(ISNUMBER(VLOOKUP($B39,'G1'!$D$7:$M$74,6,0)),VLOOKUP($B39,'G1'!$D$7:$M$74,6,0),"")</f>
        <v/>
      </c>
      <c r="Q39" s="598" t="str">
        <f>IF(ISNUMBER(VLOOKUP($B39,'G2'!$D$7:$M$74,2,0)),VLOOKUP($B39,'G2'!$D$7:$M$74,2,0),"")</f>
        <v/>
      </c>
      <c r="R39" s="599" t="str">
        <f>IF(ISNUMBER(VLOOKUP($B39,'G2'!$D$7:$M$74,3,0)),VLOOKUP($B39,'G2'!$D$7:$M$74,3,0),"")</f>
        <v/>
      </c>
      <c r="S39" s="599" t="str">
        <f>IF(ISNUMBER(VLOOKUP($B39,'G2'!$D$7:$M$74,4,0)),VLOOKUP($B39,'G2'!$D$7:$M$74,4,0),"")</f>
        <v/>
      </c>
      <c r="T39" s="599" t="str">
        <f>IF(ISNUMBER(VLOOKUP($B39,'G2'!$D$7:$M$74,5,0)),VLOOKUP($B39,'G2'!$D$7:$M$74,5,0),"")</f>
        <v/>
      </c>
      <c r="U39" s="599" t="str">
        <f>IF(ISNUMBER(VLOOKUP($B39,'G2'!$D$7:$M$74,6,0)),VLOOKUP($B39,'G2'!$D$7:$M$74,6,0),"")</f>
        <v/>
      </c>
      <c r="V39" s="598" t="str">
        <f>IF(ISNUMBER(VLOOKUP($B39,'G3'!$D$7:$M$74,2,0)),VLOOKUP($B39,'G3'!$D$7:$M$74,2,0),"")</f>
        <v/>
      </c>
      <c r="W39" s="599" t="str">
        <f>IF(ISNUMBER(VLOOKUP($B39,'G3'!$D$7:$M$74,3,0)),VLOOKUP($B39,'G3'!$D$7:$M$74,3,0),"")</f>
        <v/>
      </c>
      <c r="X39" s="599" t="str">
        <f>IF(ISNUMBER(VLOOKUP($B39,'G3'!$D$7:$M$74,4,0)),VLOOKUP($B39,'G3'!$D$7:$M$74,4,0),"")</f>
        <v/>
      </c>
      <c r="Y39" s="599" t="str">
        <f>IF(ISNUMBER(VLOOKUP($B39,'G3'!$D$7:$M$74,5,0)),VLOOKUP($B39,'G3'!$D$7:$M$74,5,0),"")</f>
        <v/>
      </c>
      <c r="Z39" s="599" t="str">
        <f>IF(ISNUMBER(VLOOKUP($B39,'G3'!$D$7:$M$74,6,0)),VLOOKUP($B39,'G3'!$D$7:$M$74,6,0),"")</f>
        <v/>
      </c>
      <c r="AA39" s="598" t="str">
        <f>IF(ISNUMBER(VLOOKUP($B39,#REF!,2,0)),VLOOKUP($B39,#REF!,2,0),"")</f>
        <v/>
      </c>
      <c r="AB39" s="599" t="str">
        <f>IF(ISNUMBER(VLOOKUP($B39,#REF!,3,0)),VLOOKUP($B39,#REF!,3,0),"")</f>
        <v/>
      </c>
      <c r="AC39" s="599" t="str">
        <f>IF(ISNUMBER(VLOOKUP($B39,#REF!,4,0)),VLOOKUP($B39,#REF!,4,0),"")</f>
        <v/>
      </c>
      <c r="AD39" s="599" t="str">
        <f>IF(ISNUMBER(VLOOKUP($B39,#REF!,5,0)),VLOOKUP($B39,#REF!,5,0),"")</f>
        <v/>
      </c>
      <c r="AE39" s="599" t="str">
        <f>IF(ISNUMBER(VLOOKUP($B39,#REF!,6,0)),VLOOKUP($B39,#REF!,6,0),"")</f>
        <v/>
      </c>
      <c r="AF39" s="598" t="str">
        <f>IF(ISNUMBER(VLOOKUP($B39,#REF!,2,0)),VLOOKUP($B39,#REF!,2,0),"")</f>
        <v/>
      </c>
      <c r="AG39" s="599" t="str">
        <f>IF(ISNUMBER(VLOOKUP($B39,#REF!,3,0)),VLOOKUP($B39,#REF!,3,0),"")</f>
        <v/>
      </c>
      <c r="AH39" s="599" t="str">
        <f>IF(ISNUMBER(VLOOKUP($B39,#REF!,4,0)),VLOOKUP($B39,#REF!,4,0),"")</f>
        <v/>
      </c>
      <c r="AI39" s="599" t="str">
        <f>IF(ISNUMBER(VLOOKUP($B39,#REF!,5,0)),VLOOKUP($B39,#REF!,5,0),"")</f>
        <v/>
      </c>
      <c r="AJ39" s="599" t="str">
        <f>IF(ISNUMBER(VLOOKUP($B39,#REF!,6,0)),VLOOKUP($B39,#REF!,6,0),"")</f>
        <v/>
      </c>
      <c r="AK39" s="599" t="str">
        <f>VLOOKUP($B39,Skörd!$D$5:$M$72,7,0)</f>
        <v/>
      </c>
    </row>
    <row r="40" spans="2:37" hidden="1" x14ac:dyDescent="0.2">
      <c r="B40" s="596" t="s">
        <v>1052</v>
      </c>
      <c r="C40" s="598" t="str">
        <f>IF(ISNUMBER(VLOOKUP($B40,'F1'!$D$6:$G$73,2,0)),VLOOKUP($B40,'F1'!$D$6:$G$73,2,0),"")</f>
        <v/>
      </c>
      <c r="D40" s="599" t="str">
        <f>IF(ISNUMBER(VLOOKUP($B40,'F1'!$D$6:$G$73,3,0)),VLOOKUP($B40,'F1'!$D$6:$G$73,3,0),"")</f>
        <v/>
      </c>
      <c r="E40" s="599" t="str">
        <f>IF(ISNUMBER(VLOOKUP($B40,'F1'!$D$6:$G$73,4,0)),VLOOKUP($B40,'F1'!$D$6:$G$73,4,0),"")</f>
        <v/>
      </c>
      <c r="F40" s="598" t="str">
        <f>IF(ISNUMBER(VLOOKUP($B40,'F2'!$D$6:$G$73,2,0)),VLOOKUP($B40,'F2'!$D$6:$G$73,2,0),"")</f>
        <v/>
      </c>
      <c r="G40" s="599" t="str">
        <f>IF(ISNUMBER(VLOOKUP($B40,'F2'!$D$6:$G$73,3,0)),VLOOKUP($B40,'F2'!$D$6:$G$73,3,0),"")</f>
        <v/>
      </c>
      <c r="H40" s="599" t="str">
        <f>IF(ISNUMBER(VLOOKUP($B40,'F2'!$D$6:$G$73,4,0)),VLOOKUP($B40,'F2'!$D$6:$G$73,4,0),"")</f>
        <v/>
      </c>
      <c r="I40" s="598" t="str">
        <f>IF(ISNUMBER(VLOOKUP($B40,#REF!,2,0)),VLOOKUP($B40,#REF!,2,0),"")</f>
        <v/>
      </c>
      <c r="J40" s="599" t="str">
        <f>IF(ISNUMBER(VLOOKUP($B40,#REF!,3,0)),VLOOKUP($B40,#REF!,3,0),"")</f>
        <v/>
      </c>
      <c r="K40" s="599" t="str">
        <f>IF(ISNUMBER(VLOOKUP($B40,#REF!,4,0)),VLOOKUP($B40,#REF!,4,0),"")</f>
        <v/>
      </c>
      <c r="L40" s="598" t="str">
        <f>IF(ISNUMBER(VLOOKUP($B40,'G1'!$D$7:$M$74,2,0)),VLOOKUP($B40,'G1'!$D$7:$M$74,2,0),"")</f>
        <v/>
      </c>
      <c r="M40" s="599" t="str">
        <f>IF(ISNUMBER(VLOOKUP($B40,'G1'!$D$7:$M$74,3,0)),VLOOKUP($B40,'G1'!$D$7:$M$74,3,0),"")</f>
        <v/>
      </c>
      <c r="N40" s="599" t="str">
        <f>IF(ISNUMBER(VLOOKUP($B40,'G1'!$D$7:$M$74,4,0)),VLOOKUP($B40,'G1'!$D$7:$M$74,4,0),"")</f>
        <v/>
      </c>
      <c r="O40" s="599" t="str">
        <f>IF(ISNUMBER(VLOOKUP($B40,'G1'!$D$7:$M$74,5,0)),VLOOKUP($B40,'G1'!$D$7:$M$74,5,0),"")</f>
        <v/>
      </c>
      <c r="P40" s="599" t="str">
        <f>IF(ISNUMBER(VLOOKUP($B40,'G1'!$D$7:$M$74,6,0)),VLOOKUP($B40,'G1'!$D$7:$M$74,6,0),"")</f>
        <v/>
      </c>
      <c r="Q40" s="598" t="str">
        <f>IF(ISNUMBER(VLOOKUP($B40,'G2'!$D$7:$M$74,2,0)),VLOOKUP($B40,'G2'!$D$7:$M$74,2,0),"")</f>
        <v/>
      </c>
      <c r="R40" s="599" t="str">
        <f>IF(ISNUMBER(VLOOKUP($B40,'G2'!$D$7:$M$74,3,0)),VLOOKUP($B40,'G2'!$D$7:$M$74,3,0),"")</f>
        <v/>
      </c>
      <c r="S40" s="599" t="str">
        <f>IF(ISNUMBER(VLOOKUP($B40,'G2'!$D$7:$M$74,4,0)),VLOOKUP($B40,'G2'!$D$7:$M$74,4,0),"")</f>
        <v/>
      </c>
      <c r="T40" s="599" t="str">
        <f>IF(ISNUMBER(VLOOKUP($B40,'G2'!$D$7:$M$74,5,0)),VLOOKUP($B40,'G2'!$D$7:$M$74,5,0),"")</f>
        <v/>
      </c>
      <c r="U40" s="599" t="str">
        <f>IF(ISNUMBER(VLOOKUP($B40,'G2'!$D$7:$M$74,6,0)),VLOOKUP($B40,'G2'!$D$7:$M$74,6,0),"")</f>
        <v/>
      </c>
      <c r="V40" s="598" t="str">
        <f>IF(ISNUMBER(VLOOKUP($B40,'G3'!$D$7:$M$74,2,0)),VLOOKUP($B40,'G3'!$D$7:$M$74,2,0),"")</f>
        <v/>
      </c>
      <c r="W40" s="599" t="str">
        <f>IF(ISNUMBER(VLOOKUP($B40,'G3'!$D$7:$M$74,3,0)),VLOOKUP($B40,'G3'!$D$7:$M$74,3,0),"")</f>
        <v/>
      </c>
      <c r="X40" s="599" t="str">
        <f>IF(ISNUMBER(VLOOKUP($B40,'G3'!$D$7:$M$74,4,0)),VLOOKUP($B40,'G3'!$D$7:$M$74,4,0),"")</f>
        <v/>
      </c>
      <c r="Y40" s="599" t="str">
        <f>IF(ISNUMBER(VLOOKUP($B40,'G3'!$D$7:$M$74,5,0)),VLOOKUP($B40,'G3'!$D$7:$M$74,5,0),"")</f>
        <v/>
      </c>
      <c r="Z40" s="599" t="str">
        <f>IF(ISNUMBER(VLOOKUP($B40,'G3'!$D$7:$M$74,6,0)),VLOOKUP($B40,'G3'!$D$7:$M$74,6,0),"")</f>
        <v/>
      </c>
      <c r="AA40" s="598" t="str">
        <f>IF(ISNUMBER(VLOOKUP($B40,#REF!,2,0)),VLOOKUP($B40,#REF!,2,0),"")</f>
        <v/>
      </c>
      <c r="AB40" s="599" t="str">
        <f>IF(ISNUMBER(VLOOKUP($B40,#REF!,3,0)),VLOOKUP($B40,#REF!,3,0),"")</f>
        <v/>
      </c>
      <c r="AC40" s="599" t="str">
        <f>IF(ISNUMBER(VLOOKUP($B40,#REF!,4,0)),VLOOKUP($B40,#REF!,4,0),"")</f>
        <v/>
      </c>
      <c r="AD40" s="599" t="str">
        <f>IF(ISNUMBER(VLOOKUP($B40,#REF!,5,0)),VLOOKUP($B40,#REF!,5,0),"")</f>
        <v/>
      </c>
      <c r="AE40" s="599" t="str">
        <f>IF(ISNUMBER(VLOOKUP($B40,#REF!,6,0)),VLOOKUP($B40,#REF!,6,0),"")</f>
        <v/>
      </c>
      <c r="AF40" s="598" t="str">
        <f>IF(ISNUMBER(VLOOKUP($B40,#REF!,2,0)),VLOOKUP($B40,#REF!,2,0),"")</f>
        <v/>
      </c>
      <c r="AG40" s="599" t="str">
        <f>IF(ISNUMBER(VLOOKUP($B40,#REF!,3,0)),VLOOKUP($B40,#REF!,3,0),"")</f>
        <v/>
      </c>
      <c r="AH40" s="599" t="str">
        <f>IF(ISNUMBER(VLOOKUP($B40,#REF!,4,0)),VLOOKUP($B40,#REF!,4,0),"")</f>
        <v/>
      </c>
      <c r="AI40" s="599" t="str">
        <f>IF(ISNUMBER(VLOOKUP($B40,#REF!,5,0)),VLOOKUP($B40,#REF!,5,0),"")</f>
        <v/>
      </c>
      <c r="AJ40" s="599" t="str">
        <f>IF(ISNUMBER(VLOOKUP($B40,#REF!,6,0)),VLOOKUP($B40,#REF!,6,0),"")</f>
        <v/>
      </c>
      <c r="AK40" s="599" t="str">
        <f>VLOOKUP($B40,Skörd!$D$5:$M$72,7,0)</f>
        <v/>
      </c>
    </row>
    <row r="41" spans="2:37" hidden="1" x14ac:dyDescent="0.2">
      <c r="B41" s="596" t="s">
        <v>1053</v>
      </c>
      <c r="C41" s="598" t="str">
        <f>IF(ISNUMBER(VLOOKUP($B41,'F1'!$D$6:$G$73,2,0)),VLOOKUP($B41,'F1'!$D$6:$G$73,2,0),"")</f>
        <v/>
      </c>
      <c r="D41" s="599" t="str">
        <f>IF(ISNUMBER(VLOOKUP($B41,'F1'!$D$6:$G$73,3,0)),VLOOKUP($B41,'F1'!$D$6:$G$73,3,0),"")</f>
        <v/>
      </c>
      <c r="E41" s="599" t="str">
        <f>IF(ISNUMBER(VLOOKUP($B41,'F1'!$D$6:$G$73,4,0)),VLOOKUP($B41,'F1'!$D$6:$G$73,4,0),"")</f>
        <v/>
      </c>
      <c r="F41" s="598" t="str">
        <f>IF(ISNUMBER(VLOOKUP($B41,'F2'!$D$6:$G$73,2,0)),VLOOKUP($B41,'F2'!$D$6:$G$73,2,0),"")</f>
        <v/>
      </c>
      <c r="G41" s="599" t="str">
        <f>IF(ISNUMBER(VLOOKUP($B41,'F2'!$D$6:$G$73,3,0)),VLOOKUP($B41,'F2'!$D$6:$G$73,3,0),"")</f>
        <v/>
      </c>
      <c r="H41" s="599" t="str">
        <f>IF(ISNUMBER(VLOOKUP($B41,'F2'!$D$6:$G$73,4,0)),VLOOKUP($B41,'F2'!$D$6:$G$73,4,0),"")</f>
        <v/>
      </c>
      <c r="I41" s="598" t="str">
        <f>IF(ISNUMBER(VLOOKUP($B41,#REF!,2,0)),VLOOKUP($B41,#REF!,2,0),"")</f>
        <v/>
      </c>
      <c r="J41" s="599" t="str">
        <f>IF(ISNUMBER(VLOOKUP($B41,#REF!,3,0)),VLOOKUP($B41,#REF!,3,0),"")</f>
        <v/>
      </c>
      <c r="K41" s="599" t="str">
        <f>IF(ISNUMBER(VLOOKUP($B41,#REF!,4,0)),VLOOKUP($B41,#REF!,4,0),"")</f>
        <v/>
      </c>
      <c r="L41" s="598" t="str">
        <f>IF(ISNUMBER(VLOOKUP($B41,'G1'!$D$7:$M$74,2,0)),VLOOKUP($B41,'G1'!$D$7:$M$74,2,0),"")</f>
        <v/>
      </c>
      <c r="M41" s="599" t="str">
        <f>IF(ISNUMBER(VLOOKUP($B41,'G1'!$D$7:$M$74,3,0)),VLOOKUP($B41,'G1'!$D$7:$M$74,3,0),"")</f>
        <v/>
      </c>
      <c r="N41" s="599" t="str">
        <f>IF(ISNUMBER(VLOOKUP($B41,'G1'!$D$7:$M$74,4,0)),VLOOKUP($B41,'G1'!$D$7:$M$74,4,0),"")</f>
        <v/>
      </c>
      <c r="O41" s="599" t="str">
        <f>IF(ISNUMBER(VLOOKUP($B41,'G1'!$D$7:$M$74,5,0)),VLOOKUP($B41,'G1'!$D$7:$M$74,5,0),"")</f>
        <v/>
      </c>
      <c r="P41" s="599" t="str">
        <f>IF(ISNUMBER(VLOOKUP($B41,'G1'!$D$7:$M$74,6,0)),VLOOKUP($B41,'G1'!$D$7:$M$74,6,0),"")</f>
        <v/>
      </c>
      <c r="Q41" s="598" t="str">
        <f>IF(ISNUMBER(VLOOKUP($B41,'G2'!$D$7:$M$74,2,0)),VLOOKUP($B41,'G2'!$D$7:$M$74,2,0),"")</f>
        <v/>
      </c>
      <c r="R41" s="599" t="str">
        <f>IF(ISNUMBER(VLOOKUP($B41,'G2'!$D$7:$M$74,3,0)),VLOOKUP($B41,'G2'!$D$7:$M$74,3,0),"")</f>
        <v/>
      </c>
      <c r="S41" s="599" t="str">
        <f>IF(ISNUMBER(VLOOKUP($B41,'G2'!$D$7:$M$74,4,0)),VLOOKUP($B41,'G2'!$D$7:$M$74,4,0),"")</f>
        <v/>
      </c>
      <c r="T41" s="599" t="str">
        <f>IF(ISNUMBER(VLOOKUP($B41,'G2'!$D$7:$M$74,5,0)),VLOOKUP($B41,'G2'!$D$7:$M$74,5,0),"")</f>
        <v/>
      </c>
      <c r="U41" s="599" t="str">
        <f>IF(ISNUMBER(VLOOKUP($B41,'G2'!$D$7:$M$74,6,0)),VLOOKUP($B41,'G2'!$D$7:$M$74,6,0),"")</f>
        <v/>
      </c>
      <c r="V41" s="598" t="str">
        <f>IF(ISNUMBER(VLOOKUP($B41,'G3'!$D$7:$M$74,2,0)),VLOOKUP($B41,'G3'!$D$7:$M$74,2,0),"")</f>
        <v/>
      </c>
      <c r="W41" s="599" t="str">
        <f>IF(ISNUMBER(VLOOKUP($B41,'G3'!$D$7:$M$74,3,0)),VLOOKUP($B41,'G3'!$D$7:$M$74,3,0),"")</f>
        <v/>
      </c>
      <c r="X41" s="599" t="str">
        <f>IF(ISNUMBER(VLOOKUP($B41,'G3'!$D$7:$M$74,4,0)),VLOOKUP($B41,'G3'!$D$7:$M$74,4,0),"")</f>
        <v/>
      </c>
      <c r="Y41" s="599" t="str">
        <f>IF(ISNUMBER(VLOOKUP($B41,'G3'!$D$7:$M$74,5,0)),VLOOKUP($B41,'G3'!$D$7:$M$74,5,0),"")</f>
        <v/>
      </c>
      <c r="Z41" s="599" t="str">
        <f>IF(ISNUMBER(VLOOKUP($B41,'G3'!$D$7:$M$74,6,0)),VLOOKUP($B41,'G3'!$D$7:$M$74,6,0),"")</f>
        <v/>
      </c>
      <c r="AA41" s="598" t="str">
        <f>IF(ISNUMBER(VLOOKUP($B41,#REF!,2,0)),VLOOKUP($B41,#REF!,2,0),"")</f>
        <v/>
      </c>
      <c r="AB41" s="599" t="str">
        <f>IF(ISNUMBER(VLOOKUP($B41,#REF!,3,0)),VLOOKUP($B41,#REF!,3,0),"")</f>
        <v/>
      </c>
      <c r="AC41" s="599" t="str">
        <f>IF(ISNUMBER(VLOOKUP($B41,#REF!,4,0)),VLOOKUP($B41,#REF!,4,0),"")</f>
        <v/>
      </c>
      <c r="AD41" s="599" t="str">
        <f>IF(ISNUMBER(VLOOKUP($B41,#REF!,5,0)),VLOOKUP($B41,#REF!,5,0),"")</f>
        <v/>
      </c>
      <c r="AE41" s="599" t="str">
        <f>IF(ISNUMBER(VLOOKUP($B41,#REF!,6,0)),VLOOKUP($B41,#REF!,6,0),"")</f>
        <v/>
      </c>
      <c r="AF41" s="598" t="str">
        <f>IF(ISNUMBER(VLOOKUP($B41,#REF!,2,0)),VLOOKUP($B41,#REF!,2,0),"")</f>
        <v/>
      </c>
      <c r="AG41" s="599" t="str">
        <f>IF(ISNUMBER(VLOOKUP($B41,#REF!,3,0)),VLOOKUP($B41,#REF!,3,0),"")</f>
        <v/>
      </c>
      <c r="AH41" s="599" t="str">
        <f>IF(ISNUMBER(VLOOKUP($B41,#REF!,4,0)),VLOOKUP($B41,#REF!,4,0),"")</f>
        <v/>
      </c>
      <c r="AI41" s="599" t="str">
        <f>IF(ISNUMBER(VLOOKUP($B41,#REF!,5,0)),VLOOKUP($B41,#REF!,5,0),"")</f>
        <v/>
      </c>
      <c r="AJ41" s="599" t="str">
        <f>IF(ISNUMBER(VLOOKUP($B41,#REF!,6,0)),VLOOKUP($B41,#REF!,6,0),"")</f>
        <v/>
      </c>
      <c r="AK41" s="599" t="e">
        <f>VLOOKUP($B41,Skörd!$D$5:$M$72,7,0)</f>
        <v>#N/A</v>
      </c>
    </row>
    <row r="42" spans="2:37" hidden="1" x14ac:dyDescent="0.2">
      <c r="B42" s="596" t="s">
        <v>1054</v>
      </c>
      <c r="C42" s="598" t="str">
        <f>IF(ISNUMBER(VLOOKUP($B42,'F1'!$D$6:$G$73,2,0)),VLOOKUP($B42,'F1'!$D$6:$G$73,2,0),"")</f>
        <v/>
      </c>
      <c r="D42" s="599" t="str">
        <f>IF(ISNUMBER(VLOOKUP($B42,'F1'!$D$6:$G$73,3,0)),VLOOKUP($B42,'F1'!$D$6:$G$73,3,0),"")</f>
        <v/>
      </c>
      <c r="E42" s="599" t="str">
        <f>IF(ISNUMBER(VLOOKUP($B42,'F1'!$D$6:$G$73,4,0)),VLOOKUP($B42,'F1'!$D$6:$G$73,4,0),"")</f>
        <v/>
      </c>
      <c r="F42" s="598" t="str">
        <f>IF(ISNUMBER(VLOOKUP($B42,'F2'!$D$6:$G$73,2,0)),VLOOKUP($B42,'F2'!$D$6:$G$73,2,0),"")</f>
        <v/>
      </c>
      <c r="G42" s="599" t="str">
        <f>IF(ISNUMBER(VLOOKUP($B42,'F2'!$D$6:$G$73,3,0)),VLOOKUP($B42,'F2'!$D$6:$G$73,3,0),"")</f>
        <v/>
      </c>
      <c r="H42" s="599" t="str">
        <f>IF(ISNUMBER(VLOOKUP($B42,'F2'!$D$6:$G$73,4,0)),VLOOKUP($B42,'F2'!$D$6:$G$73,4,0),"")</f>
        <v/>
      </c>
      <c r="I42" s="598" t="str">
        <f>IF(ISNUMBER(VLOOKUP($B42,#REF!,2,0)),VLOOKUP($B42,#REF!,2,0),"")</f>
        <v/>
      </c>
      <c r="J42" s="599" t="str">
        <f>IF(ISNUMBER(VLOOKUP($B42,#REF!,3,0)),VLOOKUP($B42,#REF!,3,0),"")</f>
        <v/>
      </c>
      <c r="K42" s="599" t="str">
        <f>IF(ISNUMBER(VLOOKUP($B42,#REF!,4,0)),VLOOKUP($B42,#REF!,4,0),"")</f>
        <v/>
      </c>
      <c r="L42" s="598" t="str">
        <f>IF(ISNUMBER(VLOOKUP($B42,'G1'!$D$7:$M$74,2,0)),VLOOKUP($B42,'G1'!$D$7:$M$74,2,0),"")</f>
        <v/>
      </c>
      <c r="M42" s="599" t="str">
        <f>IF(ISNUMBER(VLOOKUP($B42,'G1'!$D$7:$M$74,3,0)),VLOOKUP($B42,'G1'!$D$7:$M$74,3,0),"")</f>
        <v/>
      </c>
      <c r="N42" s="599" t="str">
        <f>IF(ISNUMBER(VLOOKUP($B42,'G1'!$D$7:$M$74,4,0)),VLOOKUP($B42,'G1'!$D$7:$M$74,4,0),"")</f>
        <v/>
      </c>
      <c r="O42" s="599" t="str">
        <f>IF(ISNUMBER(VLOOKUP($B42,'G1'!$D$7:$M$74,5,0)),VLOOKUP($B42,'G1'!$D$7:$M$74,5,0),"")</f>
        <v/>
      </c>
      <c r="P42" s="599" t="str">
        <f>IF(ISNUMBER(VLOOKUP($B42,'G1'!$D$7:$M$74,6,0)),VLOOKUP($B42,'G1'!$D$7:$M$74,6,0),"")</f>
        <v/>
      </c>
      <c r="Q42" s="598" t="str">
        <f>IF(ISNUMBER(VLOOKUP($B42,'G2'!$D$7:$M$74,2,0)),VLOOKUP($B42,'G2'!$D$7:$M$74,2,0),"")</f>
        <v/>
      </c>
      <c r="R42" s="599" t="str">
        <f>IF(ISNUMBER(VLOOKUP($B42,'G2'!$D$7:$M$74,3,0)),VLOOKUP($B42,'G2'!$D$7:$M$74,3,0),"")</f>
        <v/>
      </c>
      <c r="S42" s="599" t="str">
        <f>IF(ISNUMBER(VLOOKUP($B42,'G2'!$D$7:$M$74,4,0)),VLOOKUP($B42,'G2'!$D$7:$M$74,4,0),"")</f>
        <v/>
      </c>
      <c r="T42" s="599" t="str">
        <f>IF(ISNUMBER(VLOOKUP($B42,'G2'!$D$7:$M$74,5,0)),VLOOKUP($B42,'G2'!$D$7:$M$74,5,0),"")</f>
        <v/>
      </c>
      <c r="U42" s="599" t="str">
        <f>IF(ISNUMBER(VLOOKUP($B42,'G2'!$D$7:$M$74,6,0)),VLOOKUP($B42,'G2'!$D$7:$M$74,6,0),"")</f>
        <v/>
      </c>
      <c r="V42" s="598" t="str">
        <f>IF(ISNUMBER(VLOOKUP($B42,'G3'!$D$7:$M$74,2,0)),VLOOKUP($B42,'G3'!$D$7:$M$74,2,0),"")</f>
        <v/>
      </c>
      <c r="W42" s="599" t="str">
        <f>IF(ISNUMBER(VLOOKUP($B42,'G3'!$D$7:$M$74,3,0)),VLOOKUP($B42,'G3'!$D$7:$M$74,3,0),"")</f>
        <v/>
      </c>
      <c r="X42" s="599" t="str">
        <f>IF(ISNUMBER(VLOOKUP($B42,'G3'!$D$7:$M$74,4,0)),VLOOKUP($B42,'G3'!$D$7:$M$74,4,0),"")</f>
        <v/>
      </c>
      <c r="Y42" s="599" t="str">
        <f>IF(ISNUMBER(VLOOKUP($B42,'G3'!$D$7:$M$74,5,0)),VLOOKUP($B42,'G3'!$D$7:$M$74,5,0),"")</f>
        <v/>
      </c>
      <c r="Z42" s="599" t="str">
        <f>IF(ISNUMBER(VLOOKUP($B42,'G3'!$D$7:$M$74,6,0)),VLOOKUP($B42,'G3'!$D$7:$M$74,6,0),"")</f>
        <v/>
      </c>
      <c r="AA42" s="598" t="str">
        <f>IF(ISNUMBER(VLOOKUP($B42,#REF!,2,0)),VLOOKUP($B42,#REF!,2,0),"")</f>
        <v/>
      </c>
      <c r="AB42" s="599" t="str">
        <f>IF(ISNUMBER(VLOOKUP($B42,#REF!,3,0)),VLOOKUP($B42,#REF!,3,0),"")</f>
        <v/>
      </c>
      <c r="AC42" s="599" t="str">
        <f>IF(ISNUMBER(VLOOKUP($B42,#REF!,4,0)),VLOOKUP($B42,#REF!,4,0),"")</f>
        <v/>
      </c>
      <c r="AD42" s="599" t="str">
        <f>IF(ISNUMBER(VLOOKUP($B42,#REF!,5,0)),VLOOKUP($B42,#REF!,5,0),"")</f>
        <v/>
      </c>
      <c r="AE42" s="599" t="str">
        <f>IF(ISNUMBER(VLOOKUP($B42,#REF!,6,0)),VLOOKUP($B42,#REF!,6,0),"")</f>
        <v/>
      </c>
      <c r="AF42" s="598" t="str">
        <f>IF(ISNUMBER(VLOOKUP($B42,#REF!,2,0)),VLOOKUP($B42,#REF!,2,0),"")</f>
        <v/>
      </c>
      <c r="AG42" s="599" t="str">
        <f>IF(ISNUMBER(VLOOKUP($B42,#REF!,3,0)),VLOOKUP($B42,#REF!,3,0),"")</f>
        <v/>
      </c>
      <c r="AH42" s="599" t="str">
        <f>IF(ISNUMBER(VLOOKUP($B42,#REF!,4,0)),VLOOKUP($B42,#REF!,4,0),"")</f>
        <v/>
      </c>
      <c r="AI42" s="599" t="str">
        <f>IF(ISNUMBER(VLOOKUP($B42,#REF!,5,0)),VLOOKUP($B42,#REF!,5,0),"")</f>
        <v/>
      </c>
      <c r="AJ42" s="599" t="str">
        <f>IF(ISNUMBER(VLOOKUP($B42,#REF!,6,0)),VLOOKUP($B42,#REF!,6,0),"")</f>
        <v/>
      </c>
      <c r="AK42" s="599" t="str">
        <f>VLOOKUP($B42,Skörd!$D$5:$M$72,7,0)</f>
        <v/>
      </c>
    </row>
    <row r="43" spans="2:37" hidden="1" x14ac:dyDescent="0.2">
      <c r="B43" s="596" t="s">
        <v>1055</v>
      </c>
      <c r="C43" s="598" t="str">
        <f>IF(ISNUMBER(VLOOKUP($B43,'F1'!$D$6:$G$73,2,0)),VLOOKUP($B43,'F1'!$D$6:$G$73,2,0),"")</f>
        <v/>
      </c>
      <c r="D43" s="599" t="str">
        <f>IF(ISNUMBER(VLOOKUP($B43,'F1'!$D$6:$G$73,3,0)),VLOOKUP($B43,'F1'!$D$6:$G$73,3,0),"")</f>
        <v/>
      </c>
      <c r="E43" s="599" t="str">
        <f>IF(ISNUMBER(VLOOKUP($B43,'F1'!$D$6:$G$73,4,0)),VLOOKUP($B43,'F1'!$D$6:$G$73,4,0),"")</f>
        <v/>
      </c>
      <c r="F43" s="598" t="str">
        <f>IF(ISNUMBER(VLOOKUP($B43,'F2'!$D$6:$G$73,2,0)),VLOOKUP($B43,'F2'!$D$6:$G$73,2,0),"")</f>
        <v/>
      </c>
      <c r="G43" s="599" t="str">
        <f>IF(ISNUMBER(VLOOKUP($B43,'F2'!$D$6:$G$73,3,0)),VLOOKUP($B43,'F2'!$D$6:$G$73,3,0),"")</f>
        <v/>
      </c>
      <c r="H43" s="599" t="str">
        <f>IF(ISNUMBER(VLOOKUP($B43,'F2'!$D$6:$G$73,4,0)),VLOOKUP($B43,'F2'!$D$6:$G$73,4,0),"")</f>
        <v/>
      </c>
      <c r="I43" s="598" t="str">
        <f>IF(ISNUMBER(VLOOKUP($B43,#REF!,2,0)),VLOOKUP($B43,#REF!,2,0),"")</f>
        <v/>
      </c>
      <c r="J43" s="599" t="str">
        <f>IF(ISNUMBER(VLOOKUP($B43,#REF!,3,0)),VLOOKUP($B43,#REF!,3,0),"")</f>
        <v/>
      </c>
      <c r="K43" s="599" t="str">
        <f>IF(ISNUMBER(VLOOKUP($B43,#REF!,4,0)),VLOOKUP($B43,#REF!,4,0),"")</f>
        <v/>
      </c>
      <c r="L43" s="598" t="str">
        <f>IF(ISNUMBER(VLOOKUP($B43,'G1'!$D$7:$M$74,2,0)),VLOOKUP($B43,'G1'!$D$7:$M$74,2,0),"")</f>
        <v/>
      </c>
      <c r="M43" s="599" t="str">
        <f>IF(ISNUMBER(VLOOKUP($B43,'G1'!$D$7:$M$74,3,0)),VLOOKUP($B43,'G1'!$D$7:$M$74,3,0),"")</f>
        <v/>
      </c>
      <c r="N43" s="599" t="str">
        <f>IF(ISNUMBER(VLOOKUP($B43,'G1'!$D$7:$M$74,4,0)),VLOOKUP($B43,'G1'!$D$7:$M$74,4,0),"")</f>
        <v/>
      </c>
      <c r="O43" s="599" t="str">
        <f>IF(ISNUMBER(VLOOKUP($B43,'G1'!$D$7:$M$74,5,0)),VLOOKUP($B43,'G1'!$D$7:$M$74,5,0),"")</f>
        <v/>
      </c>
      <c r="P43" s="599" t="str">
        <f>IF(ISNUMBER(VLOOKUP($B43,'G1'!$D$7:$M$74,6,0)),VLOOKUP($B43,'G1'!$D$7:$M$74,6,0),"")</f>
        <v/>
      </c>
      <c r="Q43" s="598" t="str">
        <f>IF(ISNUMBER(VLOOKUP($B43,'G2'!$D$7:$M$74,2,0)),VLOOKUP($B43,'G2'!$D$7:$M$74,2,0),"")</f>
        <v/>
      </c>
      <c r="R43" s="599" t="str">
        <f>IF(ISNUMBER(VLOOKUP($B43,'G2'!$D$7:$M$74,3,0)),VLOOKUP($B43,'G2'!$D$7:$M$74,3,0),"")</f>
        <v/>
      </c>
      <c r="S43" s="599" t="str">
        <f>IF(ISNUMBER(VLOOKUP($B43,'G2'!$D$7:$M$74,4,0)),VLOOKUP($B43,'G2'!$D$7:$M$74,4,0),"")</f>
        <v/>
      </c>
      <c r="T43" s="599" t="str">
        <f>IF(ISNUMBER(VLOOKUP($B43,'G2'!$D$7:$M$74,5,0)),VLOOKUP($B43,'G2'!$D$7:$M$74,5,0),"")</f>
        <v/>
      </c>
      <c r="U43" s="599" t="str">
        <f>IF(ISNUMBER(VLOOKUP($B43,'G2'!$D$7:$M$74,6,0)),VLOOKUP($B43,'G2'!$D$7:$M$74,6,0),"")</f>
        <v/>
      </c>
      <c r="V43" s="598" t="str">
        <f>IF(ISNUMBER(VLOOKUP($B43,'G3'!$D$7:$M$74,2,0)),VLOOKUP($B43,'G3'!$D$7:$M$74,2,0),"")</f>
        <v/>
      </c>
      <c r="W43" s="599" t="str">
        <f>IF(ISNUMBER(VLOOKUP($B43,'G3'!$D$7:$M$74,3,0)),VLOOKUP($B43,'G3'!$D$7:$M$74,3,0),"")</f>
        <v/>
      </c>
      <c r="X43" s="599" t="str">
        <f>IF(ISNUMBER(VLOOKUP($B43,'G3'!$D$7:$M$74,4,0)),VLOOKUP($B43,'G3'!$D$7:$M$74,4,0),"")</f>
        <v/>
      </c>
      <c r="Y43" s="599" t="str">
        <f>IF(ISNUMBER(VLOOKUP($B43,'G3'!$D$7:$M$74,5,0)),VLOOKUP($B43,'G3'!$D$7:$M$74,5,0),"")</f>
        <v/>
      </c>
      <c r="Z43" s="599" t="str">
        <f>IF(ISNUMBER(VLOOKUP($B43,'G3'!$D$7:$M$74,6,0)),VLOOKUP($B43,'G3'!$D$7:$M$74,6,0),"")</f>
        <v/>
      </c>
      <c r="AA43" s="598" t="str">
        <f>IF(ISNUMBER(VLOOKUP($B43,#REF!,2,0)),VLOOKUP($B43,#REF!,2,0),"")</f>
        <v/>
      </c>
      <c r="AB43" s="599" t="str">
        <f>IF(ISNUMBER(VLOOKUP($B43,#REF!,3,0)),VLOOKUP($B43,#REF!,3,0),"")</f>
        <v/>
      </c>
      <c r="AC43" s="599" t="str">
        <f>IF(ISNUMBER(VLOOKUP($B43,#REF!,4,0)),VLOOKUP($B43,#REF!,4,0),"")</f>
        <v/>
      </c>
      <c r="AD43" s="599" t="str">
        <f>IF(ISNUMBER(VLOOKUP($B43,#REF!,5,0)),VLOOKUP($B43,#REF!,5,0),"")</f>
        <v/>
      </c>
      <c r="AE43" s="599" t="str">
        <f>IF(ISNUMBER(VLOOKUP($B43,#REF!,6,0)),VLOOKUP($B43,#REF!,6,0),"")</f>
        <v/>
      </c>
      <c r="AF43" s="598" t="str">
        <f>IF(ISNUMBER(VLOOKUP($B43,#REF!,2,0)),VLOOKUP($B43,#REF!,2,0),"")</f>
        <v/>
      </c>
      <c r="AG43" s="599" t="str">
        <f>IF(ISNUMBER(VLOOKUP($B43,#REF!,3,0)),VLOOKUP($B43,#REF!,3,0),"")</f>
        <v/>
      </c>
      <c r="AH43" s="599" t="str">
        <f>IF(ISNUMBER(VLOOKUP($B43,#REF!,4,0)),VLOOKUP($B43,#REF!,4,0),"")</f>
        <v/>
      </c>
      <c r="AI43" s="599" t="str">
        <f>IF(ISNUMBER(VLOOKUP($B43,#REF!,5,0)),VLOOKUP($B43,#REF!,5,0),"")</f>
        <v/>
      </c>
      <c r="AJ43" s="599" t="str">
        <f>IF(ISNUMBER(VLOOKUP($B43,#REF!,6,0)),VLOOKUP($B43,#REF!,6,0),"")</f>
        <v/>
      </c>
      <c r="AK43" s="599" t="str">
        <f>VLOOKUP($B43,Skörd!$D$5:$M$72,7,0)</f>
        <v/>
      </c>
    </row>
    <row r="44" spans="2:37" hidden="1" x14ac:dyDescent="0.2">
      <c r="B44" s="596" t="s">
        <v>1056</v>
      </c>
      <c r="C44" s="598" t="str">
        <f>IF(ISNUMBER(VLOOKUP($B44,'F1'!$D$6:$G$73,2,0)),VLOOKUP($B44,'F1'!$D$6:$G$73,2,0),"")</f>
        <v/>
      </c>
      <c r="D44" s="599" t="str">
        <f>IF(ISNUMBER(VLOOKUP($B44,'F1'!$D$6:$G$73,3,0)),VLOOKUP($B44,'F1'!$D$6:$G$73,3,0),"")</f>
        <v/>
      </c>
      <c r="E44" s="599" t="str">
        <f>IF(ISNUMBER(VLOOKUP($B44,'F1'!$D$6:$G$73,4,0)),VLOOKUP($B44,'F1'!$D$6:$G$73,4,0),"")</f>
        <v/>
      </c>
      <c r="F44" s="598" t="str">
        <f>IF(ISNUMBER(VLOOKUP($B44,'F2'!$D$6:$G$73,2,0)),VLOOKUP($B44,'F2'!$D$6:$G$73,2,0),"")</f>
        <v/>
      </c>
      <c r="G44" s="599" t="str">
        <f>IF(ISNUMBER(VLOOKUP($B44,'F2'!$D$6:$G$73,3,0)),VLOOKUP($B44,'F2'!$D$6:$G$73,3,0),"")</f>
        <v/>
      </c>
      <c r="H44" s="599" t="str">
        <f>IF(ISNUMBER(VLOOKUP($B44,'F2'!$D$6:$G$73,4,0)),VLOOKUP($B44,'F2'!$D$6:$G$73,4,0),"")</f>
        <v/>
      </c>
      <c r="I44" s="598" t="str">
        <f>IF(ISNUMBER(VLOOKUP($B44,#REF!,2,0)),VLOOKUP($B44,#REF!,2,0),"")</f>
        <v/>
      </c>
      <c r="J44" s="599" t="str">
        <f>IF(ISNUMBER(VLOOKUP($B44,#REF!,3,0)),VLOOKUP($B44,#REF!,3,0),"")</f>
        <v/>
      </c>
      <c r="K44" s="599" t="str">
        <f>IF(ISNUMBER(VLOOKUP($B44,#REF!,4,0)),VLOOKUP($B44,#REF!,4,0),"")</f>
        <v/>
      </c>
      <c r="L44" s="598" t="str">
        <f>IF(ISNUMBER(VLOOKUP($B44,'G1'!$D$7:$M$74,2,0)),VLOOKUP($B44,'G1'!$D$7:$M$74,2,0),"")</f>
        <v/>
      </c>
      <c r="M44" s="599" t="str">
        <f>IF(ISNUMBER(VLOOKUP($B44,'G1'!$D$7:$M$74,3,0)),VLOOKUP($B44,'G1'!$D$7:$M$74,3,0),"")</f>
        <v/>
      </c>
      <c r="N44" s="599" t="str">
        <f>IF(ISNUMBER(VLOOKUP($B44,'G1'!$D$7:$M$74,4,0)),VLOOKUP($B44,'G1'!$D$7:$M$74,4,0),"")</f>
        <v/>
      </c>
      <c r="O44" s="599" t="str">
        <f>IF(ISNUMBER(VLOOKUP($B44,'G1'!$D$7:$M$74,5,0)),VLOOKUP($B44,'G1'!$D$7:$M$74,5,0),"")</f>
        <v/>
      </c>
      <c r="P44" s="599" t="str">
        <f>IF(ISNUMBER(VLOOKUP($B44,'G1'!$D$7:$M$74,6,0)),VLOOKUP($B44,'G1'!$D$7:$M$74,6,0),"")</f>
        <v/>
      </c>
      <c r="Q44" s="598" t="str">
        <f>IF(ISNUMBER(VLOOKUP($B44,'G2'!$D$7:$M$74,2,0)),VLOOKUP($B44,'G2'!$D$7:$M$74,2,0),"")</f>
        <v/>
      </c>
      <c r="R44" s="599" t="str">
        <f>IF(ISNUMBER(VLOOKUP($B44,'G2'!$D$7:$M$74,3,0)),VLOOKUP($B44,'G2'!$D$7:$M$74,3,0),"")</f>
        <v/>
      </c>
      <c r="S44" s="599" t="str">
        <f>IF(ISNUMBER(VLOOKUP($B44,'G2'!$D$7:$M$74,4,0)),VLOOKUP($B44,'G2'!$D$7:$M$74,4,0),"")</f>
        <v/>
      </c>
      <c r="T44" s="599" t="str">
        <f>IF(ISNUMBER(VLOOKUP($B44,'G2'!$D$7:$M$74,5,0)),VLOOKUP($B44,'G2'!$D$7:$M$74,5,0),"")</f>
        <v/>
      </c>
      <c r="U44" s="599" t="str">
        <f>IF(ISNUMBER(VLOOKUP($B44,'G2'!$D$7:$M$74,6,0)),VLOOKUP($B44,'G2'!$D$7:$M$74,6,0),"")</f>
        <v/>
      </c>
      <c r="V44" s="598" t="str">
        <f>IF(ISNUMBER(VLOOKUP($B44,'G3'!$D$7:$M$74,2,0)),VLOOKUP($B44,'G3'!$D$7:$M$74,2,0),"")</f>
        <v/>
      </c>
      <c r="W44" s="599" t="str">
        <f>IF(ISNUMBER(VLOOKUP($B44,'G3'!$D$7:$M$74,3,0)),VLOOKUP($B44,'G3'!$D$7:$M$74,3,0),"")</f>
        <v/>
      </c>
      <c r="X44" s="599" t="str">
        <f>IF(ISNUMBER(VLOOKUP($B44,'G3'!$D$7:$M$74,4,0)),VLOOKUP($B44,'G3'!$D$7:$M$74,4,0),"")</f>
        <v/>
      </c>
      <c r="Y44" s="599" t="str">
        <f>IF(ISNUMBER(VLOOKUP($B44,'G3'!$D$7:$M$74,5,0)),VLOOKUP($B44,'G3'!$D$7:$M$74,5,0),"")</f>
        <v/>
      </c>
      <c r="Z44" s="599" t="str">
        <f>IF(ISNUMBER(VLOOKUP($B44,'G3'!$D$7:$M$74,6,0)),VLOOKUP($B44,'G3'!$D$7:$M$74,6,0),"")</f>
        <v/>
      </c>
      <c r="AA44" s="598" t="str">
        <f>IF(ISNUMBER(VLOOKUP($B44,#REF!,2,0)),VLOOKUP($B44,#REF!,2,0),"")</f>
        <v/>
      </c>
      <c r="AB44" s="599" t="str">
        <f>IF(ISNUMBER(VLOOKUP($B44,#REF!,3,0)),VLOOKUP($B44,#REF!,3,0),"")</f>
        <v/>
      </c>
      <c r="AC44" s="599" t="str">
        <f>IF(ISNUMBER(VLOOKUP($B44,#REF!,4,0)),VLOOKUP($B44,#REF!,4,0),"")</f>
        <v/>
      </c>
      <c r="AD44" s="599" t="str">
        <f>IF(ISNUMBER(VLOOKUP($B44,#REF!,5,0)),VLOOKUP($B44,#REF!,5,0),"")</f>
        <v/>
      </c>
      <c r="AE44" s="599" t="str">
        <f>IF(ISNUMBER(VLOOKUP($B44,#REF!,6,0)),VLOOKUP($B44,#REF!,6,0),"")</f>
        <v/>
      </c>
      <c r="AF44" s="598" t="str">
        <f>IF(ISNUMBER(VLOOKUP($B44,#REF!,2,0)),VLOOKUP($B44,#REF!,2,0),"")</f>
        <v/>
      </c>
      <c r="AG44" s="599" t="str">
        <f>IF(ISNUMBER(VLOOKUP($B44,#REF!,3,0)),VLOOKUP($B44,#REF!,3,0),"")</f>
        <v/>
      </c>
      <c r="AH44" s="599" t="str">
        <f>IF(ISNUMBER(VLOOKUP($B44,#REF!,4,0)),VLOOKUP($B44,#REF!,4,0),"")</f>
        <v/>
      </c>
      <c r="AI44" s="599" t="str">
        <f>IF(ISNUMBER(VLOOKUP($B44,#REF!,5,0)),VLOOKUP($B44,#REF!,5,0),"")</f>
        <v/>
      </c>
      <c r="AJ44" s="599" t="str">
        <f>IF(ISNUMBER(VLOOKUP($B44,#REF!,6,0)),VLOOKUP($B44,#REF!,6,0),"")</f>
        <v/>
      </c>
      <c r="AK44" s="599" t="str">
        <f>VLOOKUP($B44,Skörd!$D$5:$M$72,7,0)</f>
        <v/>
      </c>
    </row>
    <row r="45" spans="2:37" hidden="1" x14ac:dyDescent="0.2">
      <c r="B45" s="596" t="s">
        <v>1057</v>
      </c>
      <c r="C45" s="598" t="str">
        <f>IF(ISNUMBER(VLOOKUP($B45,'F1'!$D$6:$G$73,2,0)),VLOOKUP($B45,'F1'!$D$6:$G$73,2,0),"")</f>
        <v/>
      </c>
      <c r="D45" s="599" t="str">
        <f>IF(ISNUMBER(VLOOKUP($B45,'F1'!$D$6:$G$73,3,0)),VLOOKUP($B45,'F1'!$D$6:$G$73,3,0),"")</f>
        <v/>
      </c>
      <c r="E45" s="599" t="str">
        <f>IF(ISNUMBER(VLOOKUP($B45,'F1'!$D$6:$G$73,4,0)),VLOOKUP($B45,'F1'!$D$6:$G$73,4,0),"")</f>
        <v/>
      </c>
      <c r="F45" s="598" t="str">
        <f>IF(ISNUMBER(VLOOKUP($B45,'F2'!$D$6:$G$73,2,0)),VLOOKUP($B45,'F2'!$D$6:$G$73,2,0),"")</f>
        <v/>
      </c>
      <c r="G45" s="599" t="str">
        <f>IF(ISNUMBER(VLOOKUP($B45,'F2'!$D$6:$G$73,3,0)),VLOOKUP($B45,'F2'!$D$6:$G$73,3,0),"")</f>
        <v/>
      </c>
      <c r="H45" s="599" t="str">
        <f>IF(ISNUMBER(VLOOKUP($B45,'F2'!$D$6:$G$73,4,0)),VLOOKUP($B45,'F2'!$D$6:$G$73,4,0),"")</f>
        <v/>
      </c>
      <c r="I45" s="598" t="str">
        <f>IF(ISNUMBER(VLOOKUP($B45,#REF!,2,0)),VLOOKUP($B45,#REF!,2,0),"")</f>
        <v/>
      </c>
      <c r="J45" s="599" t="str">
        <f>IF(ISNUMBER(VLOOKUP($B45,#REF!,3,0)),VLOOKUP($B45,#REF!,3,0),"")</f>
        <v/>
      </c>
      <c r="K45" s="599" t="str">
        <f>IF(ISNUMBER(VLOOKUP($B45,#REF!,4,0)),VLOOKUP($B45,#REF!,4,0),"")</f>
        <v/>
      </c>
      <c r="L45" s="598" t="str">
        <f>IF(ISNUMBER(VLOOKUP($B45,'G1'!$D$7:$M$74,2,0)),VLOOKUP($B45,'G1'!$D$7:$M$74,2,0),"")</f>
        <v/>
      </c>
      <c r="M45" s="599" t="str">
        <f>IF(ISNUMBER(VLOOKUP($B45,'G1'!$D$7:$M$74,3,0)),VLOOKUP($B45,'G1'!$D$7:$M$74,3,0),"")</f>
        <v/>
      </c>
      <c r="N45" s="599" t="str">
        <f>IF(ISNUMBER(VLOOKUP($B45,'G1'!$D$7:$M$74,4,0)),VLOOKUP($B45,'G1'!$D$7:$M$74,4,0),"")</f>
        <v/>
      </c>
      <c r="O45" s="599" t="str">
        <f>IF(ISNUMBER(VLOOKUP($B45,'G1'!$D$7:$M$74,5,0)),VLOOKUP($B45,'G1'!$D$7:$M$74,5,0),"")</f>
        <v/>
      </c>
      <c r="P45" s="599" t="str">
        <f>IF(ISNUMBER(VLOOKUP($B45,'G1'!$D$7:$M$74,6,0)),VLOOKUP($B45,'G1'!$D$7:$M$74,6,0),"")</f>
        <v/>
      </c>
      <c r="Q45" s="598" t="str">
        <f>IF(ISNUMBER(VLOOKUP($B45,'G2'!$D$7:$M$74,2,0)),VLOOKUP($B45,'G2'!$D$7:$M$74,2,0),"")</f>
        <v/>
      </c>
      <c r="R45" s="599" t="str">
        <f>IF(ISNUMBER(VLOOKUP($B45,'G2'!$D$7:$M$74,3,0)),VLOOKUP($B45,'G2'!$D$7:$M$74,3,0),"")</f>
        <v/>
      </c>
      <c r="S45" s="599" t="str">
        <f>IF(ISNUMBER(VLOOKUP($B45,'G2'!$D$7:$M$74,4,0)),VLOOKUP($B45,'G2'!$D$7:$M$74,4,0),"")</f>
        <v/>
      </c>
      <c r="T45" s="599" t="str">
        <f>IF(ISNUMBER(VLOOKUP($B45,'G2'!$D$7:$M$74,5,0)),VLOOKUP($B45,'G2'!$D$7:$M$74,5,0),"")</f>
        <v/>
      </c>
      <c r="U45" s="599" t="str">
        <f>IF(ISNUMBER(VLOOKUP($B45,'G2'!$D$7:$M$74,6,0)),VLOOKUP($B45,'G2'!$D$7:$M$74,6,0),"")</f>
        <v/>
      </c>
      <c r="V45" s="598" t="str">
        <f>IF(ISNUMBER(VLOOKUP($B45,'G3'!$D$7:$M$74,2,0)),VLOOKUP($B45,'G3'!$D$7:$M$74,2,0),"")</f>
        <v/>
      </c>
      <c r="W45" s="599" t="str">
        <f>IF(ISNUMBER(VLOOKUP($B45,'G3'!$D$7:$M$74,3,0)),VLOOKUP($B45,'G3'!$D$7:$M$74,3,0),"")</f>
        <v/>
      </c>
      <c r="X45" s="599" t="str">
        <f>IF(ISNUMBER(VLOOKUP($B45,'G3'!$D$7:$M$74,4,0)),VLOOKUP($B45,'G3'!$D$7:$M$74,4,0),"")</f>
        <v/>
      </c>
      <c r="Y45" s="599" t="str">
        <f>IF(ISNUMBER(VLOOKUP($B45,'G3'!$D$7:$M$74,5,0)),VLOOKUP($B45,'G3'!$D$7:$M$74,5,0),"")</f>
        <v/>
      </c>
      <c r="Z45" s="599" t="str">
        <f>IF(ISNUMBER(VLOOKUP($B45,'G3'!$D$7:$M$74,6,0)),VLOOKUP($B45,'G3'!$D$7:$M$74,6,0),"")</f>
        <v/>
      </c>
      <c r="AA45" s="598" t="str">
        <f>IF(ISNUMBER(VLOOKUP($B45,#REF!,2,0)),VLOOKUP($B45,#REF!,2,0),"")</f>
        <v/>
      </c>
      <c r="AB45" s="599" t="str">
        <f>IF(ISNUMBER(VLOOKUP($B45,#REF!,3,0)),VLOOKUP($B45,#REF!,3,0),"")</f>
        <v/>
      </c>
      <c r="AC45" s="599" t="str">
        <f>IF(ISNUMBER(VLOOKUP($B45,#REF!,4,0)),VLOOKUP($B45,#REF!,4,0),"")</f>
        <v/>
      </c>
      <c r="AD45" s="599" t="str">
        <f>IF(ISNUMBER(VLOOKUP($B45,#REF!,5,0)),VLOOKUP($B45,#REF!,5,0),"")</f>
        <v/>
      </c>
      <c r="AE45" s="599" t="str">
        <f>IF(ISNUMBER(VLOOKUP($B45,#REF!,6,0)),VLOOKUP($B45,#REF!,6,0),"")</f>
        <v/>
      </c>
      <c r="AF45" s="598" t="str">
        <f>IF(ISNUMBER(VLOOKUP($B45,#REF!,2,0)),VLOOKUP($B45,#REF!,2,0),"")</f>
        <v/>
      </c>
      <c r="AG45" s="599" t="str">
        <f>IF(ISNUMBER(VLOOKUP($B45,#REF!,3,0)),VLOOKUP($B45,#REF!,3,0),"")</f>
        <v/>
      </c>
      <c r="AH45" s="599" t="str">
        <f>IF(ISNUMBER(VLOOKUP($B45,#REF!,4,0)),VLOOKUP($B45,#REF!,4,0),"")</f>
        <v/>
      </c>
      <c r="AI45" s="599" t="str">
        <f>IF(ISNUMBER(VLOOKUP($B45,#REF!,5,0)),VLOOKUP($B45,#REF!,5,0),"")</f>
        <v/>
      </c>
      <c r="AJ45" s="599" t="str">
        <f>IF(ISNUMBER(VLOOKUP($B45,#REF!,6,0)),VLOOKUP($B45,#REF!,6,0),"")</f>
        <v/>
      </c>
      <c r="AK45" s="599" t="str">
        <f>VLOOKUP($B45,Skörd!$D$5:$M$72,7,0)</f>
        <v/>
      </c>
    </row>
    <row r="46" spans="2:37" hidden="1" x14ac:dyDescent="0.2">
      <c r="B46" s="596" t="s">
        <v>1058</v>
      </c>
      <c r="C46" s="598" t="str">
        <f>IF(ISNUMBER(VLOOKUP($B46,'F1'!$D$6:$G$73,2,0)),VLOOKUP($B46,'F1'!$D$6:$G$73,2,0),"")</f>
        <v/>
      </c>
      <c r="D46" s="599" t="str">
        <f>IF(ISNUMBER(VLOOKUP($B46,'F1'!$D$6:$G$73,3,0)),VLOOKUP($B46,'F1'!$D$6:$G$73,3,0),"")</f>
        <v/>
      </c>
      <c r="E46" s="599" t="str">
        <f>IF(ISNUMBER(VLOOKUP($B46,'F1'!$D$6:$G$73,4,0)),VLOOKUP($B46,'F1'!$D$6:$G$73,4,0),"")</f>
        <v/>
      </c>
      <c r="F46" s="598" t="str">
        <f>IF(ISNUMBER(VLOOKUP($B46,'F2'!$D$6:$G$73,2,0)),VLOOKUP($B46,'F2'!$D$6:$G$73,2,0),"")</f>
        <v/>
      </c>
      <c r="G46" s="599" t="str">
        <f>IF(ISNUMBER(VLOOKUP($B46,'F2'!$D$6:$G$73,3,0)),VLOOKUP($B46,'F2'!$D$6:$G$73,3,0),"")</f>
        <v/>
      </c>
      <c r="H46" s="599" t="str">
        <f>IF(ISNUMBER(VLOOKUP($B46,'F2'!$D$6:$G$73,4,0)),VLOOKUP($B46,'F2'!$D$6:$G$73,4,0),"")</f>
        <v/>
      </c>
      <c r="I46" s="598" t="str">
        <f>IF(ISNUMBER(VLOOKUP($B46,#REF!,2,0)),VLOOKUP($B46,#REF!,2,0),"")</f>
        <v/>
      </c>
      <c r="J46" s="599" t="str">
        <f>IF(ISNUMBER(VLOOKUP($B46,#REF!,3,0)),VLOOKUP($B46,#REF!,3,0),"")</f>
        <v/>
      </c>
      <c r="K46" s="599" t="str">
        <f>IF(ISNUMBER(VLOOKUP($B46,#REF!,4,0)),VLOOKUP($B46,#REF!,4,0),"")</f>
        <v/>
      </c>
      <c r="L46" s="598" t="str">
        <f>IF(ISNUMBER(VLOOKUP($B46,'G1'!$D$7:$M$74,2,0)),VLOOKUP($B46,'G1'!$D$7:$M$74,2,0),"")</f>
        <v/>
      </c>
      <c r="M46" s="599" t="str">
        <f>IF(ISNUMBER(VLOOKUP($B46,'G1'!$D$7:$M$74,3,0)),VLOOKUP($B46,'G1'!$D$7:$M$74,3,0),"")</f>
        <v/>
      </c>
      <c r="N46" s="599" t="str">
        <f>IF(ISNUMBER(VLOOKUP($B46,'G1'!$D$7:$M$74,4,0)),VLOOKUP($B46,'G1'!$D$7:$M$74,4,0),"")</f>
        <v/>
      </c>
      <c r="O46" s="599" t="str">
        <f>IF(ISNUMBER(VLOOKUP($B46,'G1'!$D$7:$M$74,5,0)),VLOOKUP($B46,'G1'!$D$7:$M$74,5,0),"")</f>
        <v/>
      </c>
      <c r="P46" s="599" t="str">
        <f>IF(ISNUMBER(VLOOKUP($B46,'G1'!$D$7:$M$74,6,0)),VLOOKUP($B46,'G1'!$D$7:$M$74,6,0),"")</f>
        <v/>
      </c>
      <c r="Q46" s="598" t="str">
        <f>IF(ISNUMBER(VLOOKUP($B46,'G2'!$D$7:$M$74,2,0)),VLOOKUP($B46,'G2'!$D$7:$M$74,2,0),"")</f>
        <v/>
      </c>
      <c r="R46" s="599" t="str">
        <f>IF(ISNUMBER(VLOOKUP($B46,'G2'!$D$7:$M$74,3,0)),VLOOKUP($B46,'G2'!$D$7:$M$74,3,0),"")</f>
        <v/>
      </c>
      <c r="S46" s="599" t="str">
        <f>IF(ISNUMBER(VLOOKUP($B46,'G2'!$D$7:$M$74,4,0)),VLOOKUP($B46,'G2'!$D$7:$M$74,4,0),"")</f>
        <v/>
      </c>
      <c r="T46" s="599" t="str">
        <f>IF(ISNUMBER(VLOOKUP($B46,'G2'!$D$7:$M$74,5,0)),VLOOKUP($B46,'G2'!$D$7:$M$74,5,0),"")</f>
        <v/>
      </c>
      <c r="U46" s="599" t="str">
        <f>IF(ISNUMBER(VLOOKUP($B46,'G2'!$D$7:$M$74,6,0)),VLOOKUP($B46,'G2'!$D$7:$M$74,6,0),"")</f>
        <v/>
      </c>
      <c r="V46" s="598" t="str">
        <f>IF(ISNUMBER(VLOOKUP($B46,'G3'!$D$7:$M$74,2,0)),VLOOKUP($B46,'G3'!$D$7:$M$74,2,0),"")</f>
        <v/>
      </c>
      <c r="W46" s="599" t="str">
        <f>IF(ISNUMBER(VLOOKUP($B46,'G3'!$D$7:$M$74,3,0)),VLOOKUP($B46,'G3'!$D$7:$M$74,3,0),"")</f>
        <v/>
      </c>
      <c r="X46" s="599" t="str">
        <f>IF(ISNUMBER(VLOOKUP($B46,'G3'!$D$7:$M$74,4,0)),VLOOKUP($B46,'G3'!$D$7:$M$74,4,0),"")</f>
        <v/>
      </c>
      <c r="Y46" s="599" t="str">
        <f>IF(ISNUMBER(VLOOKUP($B46,'G3'!$D$7:$M$74,5,0)),VLOOKUP($B46,'G3'!$D$7:$M$74,5,0),"")</f>
        <v/>
      </c>
      <c r="Z46" s="599" t="str">
        <f>IF(ISNUMBER(VLOOKUP($B46,'G3'!$D$7:$M$74,6,0)),VLOOKUP($B46,'G3'!$D$7:$M$74,6,0),"")</f>
        <v/>
      </c>
      <c r="AA46" s="598" t="str">
        <f>IF(ISNUMBER(VLOOKUP($B46,#REF!,2,0)),VLOOKUP($B46,#REF!,2,0),"")</f>
        <v/>
      </c>
      <c r="AB46" s="599" t="str">
        <f>IF(ISNUMBER(VLOOKUP($B46,#REF!,3,0)),VLOOKUP($B46,#REF!,3,0),"")</f>
        <v/>
      </c>
      <c r="AC46" s="599" t="str">
        <f>IF(ISNUMBER(VLOOKUP($B46,#REF!,4,0)),VLOOKUP($B46,#REF!,4,0),"")</f>
        <v/>
      </c>
      <c r="AD46" s="599" t="str">
        <f>IF(ISNUMBER(VLOOKUP($B46,#REF!,5,0)),VLOOKUP($B46,#REF!,5,0),"")</f>
        <v/>
      </c>
      <c r="AE46" s="599" t="str">
        <f>IF(ISNUMBER(VLOOKUP($B46,#REF!,6,0)),VLOOKUP($B46,#REF!,6,0),"")</f>
        <v/>
      </c>
      <c r="AF46" s="598" t="str">
        <f>IF(ISNUMBER(VLOOKUP($B46,#REF!,2,0)),VLOOKUP($B46,#REF!,2,0),"")</f>
        <v/>
      </c>
      <c r="AG46" s="599" t="str">
        <f>IF(ISNUMBER(VLOOKUP($B46,#REF!,3,0)),VLOOKUP($B46,#REF!,3,0),"")</f>
        <v/>
      </c>
      <c r="AH46" s="599" t="str">
        <f>IF(ISNUMBER(VLOOKUP($B46,#REF!,4,0)),VLOOKUP($B46,#REF!,4,0),"")</f>
        <v/>
      </c>
      <c r="AI46" s="599" t="str">
        <f>IF(ISNUMBER(VLOOKUP($B46,#REF!,5,0)),VLOOKUP($B46,#REF!,5,0),"")</f>
        <v/>
      </c>
      <c r="AJ46" s="599" t="str">
        <f>IF(ISNUMBER(VLOOKUP($B46,#REF!,6,0)),VLOOKUP($B46,#REF!,6,0),"")</f>
        <v/>
      </c>
      <c r="AK46" s="599" t="str">
        <f>VLOOKUP($B46,Skörd!$D$5:$M$72,7,0)</f>
        <v/>
      </c>
    </row>
    <row r="47" spans="2:37" hidden="1" x14ac:dyDescent="0.2">
      <c r="B47" s="596" t="s">
        <v>1059</v>
      </c>
      <c r="C47" s="598" t="str">
        <f>IF(ISNUMBER(VLOOKUP($B47,'F1'!$D$6:$G$73,2,0)),VLOOKUP($B47,'F1'!$D$6:$G$73,2,0),"")</f>
        <v/>
      </c>
      <c r="D47" s="599" t="str">
        <f>IF(ISNUMBER(VLOOKUP($B47,'F1'!$D$6:$G$73,3,0)),VLOOKUP($B47,'F1'!$D$6:$G$73,3,0),"")</f>
        <v/>
      </c>
      <c r="E47" s="599" t="str">
        <f>IF(ISNUMBER(VLOOKUP($B47,'F1'!$D$6:$G$73,4,0)),VLOOKUP($B47,'F1'!$D$6:$G$73,4,0),"")</f>
        <v/>
      </c>
      <c r="F47" s="598" t="str">
        <f>IF(ISNUMBER(VLOOKUP($B47,'F2'!$D$6:$G$73,2,0)),VLOOKUP($B47,'F2'!$D$6:$G$73,2,0),"")</f>
        <v/>
      </c>
      <c r="G47" s="599" t="str">
        <f>IF(ISNUMBER(VLOOKUP($B47,'F2'!$D$6:$G$73,3,0)),VLOOKUP($B47,'F2'!$D$6:$G$73,3,0),"")</f>
        <v/>
      </c>
      <c r="H47" s="599" t="str">
        <f>IF(ISNUMBER(VLOOKUP($B47,'F2'!$D$6:$G$73,4,0)),VLOOKUP($B47,'F2'!$D$6:$G$73,4,0),"")</f>
        <v/>
      </c>
      <c r="I47" s="598" t="str">
        <f>IF(ISNUMBER(VLOOKUP($B47,#REF!,2,0)),VLOOKUP($B47,#REF!,2,0),"")</f>
        <v/>
      </c>
      <c r="J47" s="599" t="str">
        <f>IF(ISNUMBER(VLOOKUP($B47,#REF!,3,0)),VLOOKUP($B47,#REF!,3,0),"")</f>
        <v/>
      </c>
      <c r="K47" s="599" t="str">
        <f>IF(ISNUMBER(VLOOKUP($B47,#REF!,4,0)),VLOOKUP($B47,#REF!,4,0),"")</f>
        <v/>
      </c>
      <c r="L47" s="598" t="str">
        <f>IF(ISNUMBER(VLOOKUP($B47,'G1'!$D$7:$M$74,2,0)),VLOOKUP($B47,'G1'!$D$7:$M$74,2,0),"")</f>
        <v/>
      </c>
      <c r="M47" s="599" t="str">
        <f>IF(ISNUMBER(VLOOKUP($B47,'G1'!$D$7:$M$74,3,0)),VLOOKUP($B47,'G1'!$D$7:$M$74,3,0),"")</f>
        <v/>
      </c>
      <c r="N47" s="599" t="str">
        <f>IF(ISNUMBER(VLOOKUP($B47,'G1'!$D$7:$M$74,4,0)),VLOOKUP($B47,'G1'!$D$7:$M$74,4,0),"")</f>
        <v/>
      </c>
      <c r="O47" s="599" t="str">
        <f>IF(ISNUMBER(VLOOKUP($B47,'G1'!$D$7:$M$74,5,0)),VLOOKUP($B47,'G1'!$D$7:$M$74,5,0),"")</f>
        <v/>
      </c>
      <c r="P47" s="599" t="str">
        <f>IF(ISNUMBER(VLOOKUP($B47,'G1'!$D$7:$M$74,6,0)),VLOOKUP($B47,'G1'!$D$7:$M$74,6,0),"")</f>
        <v/>
      </c>
      <c r="Q47" s="598" t="str">
        <f>IF(ISNUMBER(VLOOKUP($B47,'G2'!$D$7:$M$74,2,0)),VLOOKUP($B47,'G2'!$D$7:$M$74,2,0),"")</f>
        <v/>
      </c>
      <c r="R47" s="599" t="str">
        <f>IF(ISNUMBER(VLOOKUP($B47,'G2'!$D$7:$M$74,3,0)),VLOOKUP($B47,'G2'!$D$7:$M$74,3,0),"")</f>
        <v/>
      </c>
      <c r="S47" s="599" t="str">
        <f>IF(ISNUMBER(VLOOKUP($B47,'G2'!$D$7:$M$74,4,0)),VLOOKUP($B47,'G2'!$D$7:$M$74,4,0),"")</f>
        <v/>
      </c>
      <c r="T47" s="599" t="str">
        <f>IF(ISNUMBER(VLOOKUP($B47,'G2'!$D$7:$M$74,5,0)),VLOOKUP($B47,'G2'!$D$7:$M$74,5,0),"")</f>
        <v/>
      </c>
      <c r="U47" s="599" t="str">
        <f>IF(ISNUMBER(VLOOKUP($B47,'G2'!$D$7:$M$74,6,0)),VLOOKUP($B47,'G2'!$D$7:$M$74,6,0),"")</f>
        <v/>
      </c>
      <c r="V47" s="598" t="str">
        <f>IF(ISNUMBER(VLOOKUP($B47,'G3'!$D$7:$M$74,2,0)),VLOOKUP($B47,'G3'!$D$7:$M$74,2,0),"")</f>
        <v/>
      </c>
      <c r="W47" s="599" t="str">
        <f>IF(ISNUMBER(VLOOKUP($B47,'G3'!$D$7:$M$74,3,0)),VLOOKUP($B47,'G3'!$D$7:$M$74,3,0),"")</f>
        <v/>
      </c>
      <c r="X47" s="599" t="str">
        <f>IF(ISNUMBER(VLOOKUP($B47,'G3'!$D$7:$M$74,4,0)),VLOOKUP($B47,'G3'!$D$7:$M$74,4,0),"")</f>
        <v/>
      </c>
      <c r="Y47" s="599" t="str">
        <f>IF(ISNUMBER(VLOOKUP($B47,'G3'!$D$7:$M$74,5,0)),VLOOKUP($B47,'G3'!$D$7:$M$74,5,0),"")</f>
        <v/>
      </c>
      <c r="Z47" s="599" t="str">
        <f>IF(ISNUMBER(VLOOKUP($B47,'G3'!$D$7:$M$74,6,0)),VLOOKUP($B47,'G3'!$D$7:$M$74,6,0),"")</f>
        <v/>
      </c>
      <c r="AA47" s="598" t="str">
        <f>IF(ISNUMBER(VLOOKUP($B47,#REF!,2,0)),VLOOKUP($B47,#REF!,2,0),"")</f>
        <v/>
      </c>
      <c r="AB47" s="599" t="str">
        <f>IF(ISNUMBER(VLOOKUP($B47,#REF!,3,0)),VLOOKUP($B47,#REF!,3,0),"")</f>
        <v/>
      </c>
      <c r="AC47" s="599" t="str">
        <f>IF(ISNUMBER(VLOOKUP($B47,#REF!,4,0)),VLOOKUP($B47,#REF!,4,0),"")</f>
        <v/>
      </c>
      <c r="AD47" s="599" t="str">
        <f>IF(ISNUMBER(VLOOKUP($B47,#REF!,5,0)),VLOOKUP($B47,#REF!,5,0),"")</f>
        <v/>
      </c>
      <c r="AE47" s="599" t="str">
        <f>IF(ISNUMBER(VLOOKUP($B47,#REF!,6,0)),VLOOKUP($B47,#REF!,6,0),"")</f>
        <v/>
      </c>
      <c r="AF47" s="598" t="str">
        <f>IF(ISNUMBER(VLOOKUP($B47,#REF!,2,0)),VLOOKUP($B47,#REF!,2,0),"")</f>
        <v/>
      </c>
      <c r="AG47" s="599" t="str">
        <f>IF(ISNUMBER(VLOOKUP($B47,#REF!,3,0)),VLOOKUP($B47,#REF!,3,0),"")</f>
        <v/>
      </c>
      <c r="AH47" s="599" t="str">
        <f>IF(ISNUMBER(VLOOKUP($B47,#REF!,4,0)),VLOOKUP($B47,#REF!,4,0),"")</f>
        <v/>
      </c>
      <c r="AI47" s="599" t="str">
        <f>IF(ISNUMBER(VLOOKUP($B47,#REF!,5,0)),VLOOKUP($B47,#REF!,5,0),"")</f>
        <v/>
      </c>
      <c r="AJ47" s="599" t="str">
        <f>IF(ISNUMBER(VLOOKUP($B47,#REF!,6,0)),VLOOKUP($B47,#REF!,6,0),"")</f>
        <v/>
      </c>
      <c r="AK47" s="599" t="str">
        <f>VLOOKUP($B47,Skörd!$D$5:$M$72,7,0)</f>
        <v/>
      </c>
    </row>
    <row r="48" spans="2:37" hidden="1" x14ac:dyDescent="0.2">
      <c r="B48" s="596" t="s">
        <v>1060</v>
      </c>
      <c r="C48" s="598" t="str">
        <f>IF(ISNUMBER(VLOOKUP($B48,'F1'!$D$6:$G$73,2,0)),VLOOKUP($B48,'F1'!$D$6:$G$73,2,0),"")</f>
        <v/>
      </c>
      <c r="D48" s="599" t="str">
        <f>IF(ISNUMBER(VLOOKUP($B48,'F1'!$D$6:$G$73,3,0)),VLOOKUP($B48,'F1'!$D$6:$G$73,3,0),"")</f>
        <v/>
      </c>
      <c r="E48" s="599" t="str">
        <f>IF(ISNUMBER(VLOOKUP($B48,'F1'!$D$6:$G$73,4,0)),VLOOKUP($B48,'F1'!$D$6:$G$73,4,0),"")</f>
        <v/>
      </c>
      <c r="F48" s="598" t="str">
        <f>IF(ISNUMBER(VLOOKUP($B48,'F2'!$D$6:$G$73,2,0)),VLOOKUP($B48,'F2'!$D$6:$G$73,2,0),"")</f>
        <v/>
      </c>
      <c r="G48" s="599" t="str">
        <f>IF(ISNUMBER(VLOOKUP($B48,'F2'!$D$6:$G$73,3,0)),VLOOKUP($B48,'F2'!$D$6:$G$73,3,0),"")</f>
        <v/>
      </c>
      <c r="H48" s="599" t="str">
        <f>IF(ISNUMBER(VLOOKUP($B48,'F2'!$D$6:$G$73,4,0)),VLOOKUP($B48,'F2'!$D$6:$G$73,4,0),"")</f>
        <v/>
      </c>
      <c r="I48" s="598" t="str">
        <f>IF(ISNUMBER(VLOOKUP($B48,#REF!,2,0)),VLOOKUP($B48,#REF!,2,0),"")</f>
        <v/>
      </c>
      <c r="J48" s="599" t="str">
        <f>IF(ISNUMBER(VLOOKUP($B48,#REF!,3,0)),VLOOKUP($B48,#REF!,3,0),"")</f>
        <v/>
      </c>
      <c r="K48" s="599" t="str">
        <f>IF(ISNUMBER(VLOOKUP($B48,#REF!,4,0)),VLOOKUP($B48,#REF!,4,0),"")</f>
        <v/>
      </c>
      <c r="L48" s="598" t="str">
        <f>IF(ISNUMBER(VLOOKUP($B48,'G1'!$D$7:$M$74,2,0)),VLOOKUP($B48,'G1'!$D$7:$M$74,2,0),"")</f>
        <v/>
      </c>
      <c r="M48" s="599" t="str">
        <f>IF(ISNUMBER(VLOOKUP($B48,'G1'!$D$7:$M$74,3,0)),VLOOKUP($B48,'G1'!$D$7:$M$74,3,0),"")</f>
        <v/>
      </c>
      <c r="N48" s="599" t="str">
        <f>IF(ISNUMBER(VLOOKUP($B48,'G1'!$D$7:$M$74,4,0)),VLOOKUP($B48,'G1'!$D$7:$M$74,4,0),"")</f>
        <v/>
      </c>
      <c r="O48" s="599" t="str">
        <f>IF(ISNUMBER(VLOOKUP($B48,'G1'!$D$7:$M$74,5,0)),VLOOKUP($B48,'G1'!$D$7:$M$74,5,0),"")</f>
        <v/>
      </c>
      <c r="P48" s="599" t="str">
        <f>IF(ISNUMBER(VLOOKUP($B48,'G1'!$D$7:$M$74,6,0)),VLOOKUP($B48,'G1'!$D$7:$M$74,6,0),"")</f>
        <v/>
      </c>
      <c r="Q48" s="598" t="str">
        <f>IF(ISNUMBER(VLOOKUP($B48,'G2'!$D$7:$M$74,2,0)),VLOOKUP($B48,'G2'!$D$7:$M$74,2,0),"")</f>
        <v/>
      </c>
      <c r="R48" s="599" t="str">
        <f>IF(ISNUMBER(VLOOKUP($B48,'G2'!$D$7:$M$74,3,0)),VLOOKUP($B48,'G2'!$D$7:$M$74,3,0),"")</f>
        <v/>
      </c>
      <c r="S48" s="599" t="str">
        <f>IF(ISNUMBER(VLOOKUP($B48,'G2'!$D$7:$M$74,4,0)),VLOOKUP($B48,'G2'!$D$7:$M$74,4,0),"")</f>
        <v/>
      </c>
      <c r="T48" s="599" t="str">
        <f>IF(ISNUMBER(VLOOKUP($B48,'G2'!$D$7:$M$74,5,0)),VLOOKUP($B48,'G2'!$D$7:$M$74,5,0),"")</f>
        <v/>
      </c>
      <c r="U48" s="599" t="str">
        <f>IF(ISNUMBER(VLOOKUP($B48,'G2'!$D$7:$M$74,6,0)),VLOOKUP($B48,'G2'!$D$7:$M$74,6,0),"")</f>
        <v/>
      </c>
      <c r="V48" s="598" t="str">
        <f>IF(ISNUMBER(VLOOKUP($B48,'G3'!$D$7:$M$74,2,0)),VLOOKUP($B48,'G3'!$D$7:$M$74,2,0),"")</f>
        <v/>
      </c>
      <c r="W48" s="599" t="str">
        <f>IF(ISNUMBER(VLOOKUP($B48,'G3'!$D$7:$M$74,3,0)),VLOOKUP($B48,'G3'!$D$7:$M$74,3,0),"")</f>
        <v/>
      </c>
      <c r="X48" s="599" t="str">
        <f>IF(ISNUMBER(VLOOKUP($B48,'G3'!$D$7:$M$74,4,0)),VLOOKUP($B48,'G3'!$D$7:$M$74,4,0),"")</f>
        <v/>
      </c>
      <c r="Y48" s="599" t="str">
        <f>IF(ISNUMBER(VLOOKUP($B48,'G3'!$D$7:$M$74,5,0)),VLOOKUP($B48,'G3'!$D$7:$M$74,5,0),"")</f>
        <v/>
      </c>
      <c r="Z48" s="599" t="str">
        <f>IF(ISNUMBER(VLOOKUP($B48,'G3'!$D$7:$M$74,6,0)),VLOOKUP($B48,'G3'!$D$7:$M$74,6,0),"")</f>
        <v/>
      </c>
      <c r="AA48" s="598" t="str">
        <f>IF(ISNUMBER(VLOOKUP($B48,#REF!,2,0)),VLOOKUP($B48,#REF!,2,0),"")</f>
        <v/>
      </c>
      <c r="AB48" s="599" t="str">
        <f>IF(ISNUMBER(VLOOKUP($B48,#REF!,3,0)),VLOOKUP($B48,#REF!,3,0),"")</f>
        <v/>
      </c>
      <c r="AC48" s="599" t="str">
        <f>IF(ISNUMBER(VLOOKUP($B48,#REF!,4,0)),VLOOKUP($B48,#REF!,4,0),"")</f>
        <v/>
      </c>
      <c r="AD48" s="599" t="str">
        <f>IF(ISNUMBER(VLOOKUP($B48,#REF!,5,0)),VLOOKUP($B48,#REF!,5,0),"")</f>
        <v/>
      </c>
      <c r="AE48" s="599" t="str">
        <f>IF(ISNUMBER(VLOOKUP($B48,#REF!,6,0)),VLOOKUP($B48,#REF!,6,0),"")</f>
        <v/>
      </c>
      <c r="AF48" s="598" t="str">
        <f>IF(ISNUMBER(VLOOKUP($B48,#REF!,2,0)),VLOOKUP($B48,#REF!,2,0),"")</f>
        <v/>
      </c>
      <c r="AG48" s="599" t="str">
        <f>IF(ISNUMBER(VLOOKUP($B48,#REF!,3,0)),VLOOKUP($B48,#REF!,3,0),"")</f>
        <v/>
      </c>
      <c r="AH48" s="599" t="str">
        <f>IF(ISNUMBER(VLOOKUP($B48,#REF!,4,0)),VLOOKUP($B48,#REF!,4,0),"")</f>
        <v/>
      </c>
      <c r="AI48" s="599" t="str">
        <f>IF(ISNUMBER(VLOOKUP($B48,#REF!,5,0)),VLOOKUP($B48,#REF!,5,0),"")</f>
        <v/>
      </c>
      <c r="AJ48" s="599" t="str">
        <f>IF(ISNUMBER(VLOOKUP($B48,#REF!,6,0)),VLOOKUP($B48,#REF!,6,0),"")</f>
        <v/>
      </c>
      <c r="AK48" s="599" t="str">
        <f>VLOOKUP($B48,Skörd!$D$5:$M$72,7,0)</f>
        <v/>
      </c>
    </row>
    <row r="49" spans="2:37" hidden="1" x14ac:dyDescent="0.2">
      <c r="B49" s="596" t="s">
        <v>1061</v>
      </c>
      <c r="C49" s="598" t="str">
        <f>IF(ISNUMBER(VLOOKUP($B49,'F1'!$D$6:$G$73,2,0)),VLOOKUP($B49,'F1'!$D$6:$G$73,2,0),"")</f>
        <v/>
      </c>
      <c r="D49" s="599" t="str">
        <f>IF(ISNUMBER(VLOOKUP($B49,'F1'!$D$6:$G$73,3,0)),VLOOKUP($B49,'F1'!$D$6:$G$73,3,0),"")</f>
        <v/>
      </c>
      <c r="E49" s="599" t="str">
        <f>IF(ISNUMBER(VLOOKUP($B49,'F1'!$D$6:$G$73,4,0)),VLOOKUP($B49,'F1'!$D$6:$G$73,4,0),"")</f>
        <v/>
      </c>
      <c r="F49" s="598" t="str">
        <f>IF(ISNUMBER(VLOOKUP($B49,'F2'!$D$6:$G$73,2,0)),VLOOKUP($B49,'F2'!$D$6:$G$73,2,0),"")</f>
        <v/>
      </c>
      <c r="G49" s="599" t="str">
        <f>IF(ISNUMBER(VLOOKUP($B49,'F2'!$D$6:$G$73,3,0)),VLOOKUP($B49,'F2'!$D$6:$G$73,3,0),"")</f>
        <v/>
      </c>
      <c r="H49" s="599" t="str">
        <f>IF(ISNUMBER(VLOOKUP($B49,'F2'!$D$6:$G$73,4,0)),VLOOKUP($B49,'F2'!$D$6:$G$73,4,0),"")</f>
        <v/>
      </c>
      <c r="I49" s="598" t="str">
        <f>IF(ISNUMBER(VLOOKUP($B49,#REF!,2,0)),VLOOKUP($B49,#REF!,2,0),"")</f>
        <v/>
      </c>
      <c r="J49" s="599" t="str">
        <f>IF(ISNUMBER(VLOOKUP($B49,#REF!,3,0)),VLOOKUP($B49,#REF!,3,0),"")</f>
        <v/>
      </c>
      <c r="K49" s="599" t="str">
        <f>IF(ISNUMBER(VLOOKUP($B49,#REF!,4,0)),VLOOKUP($B49,#REF!,4,0),"")</f>
        <v/>
      </c>
      <c r="L49" s="598" t="str">
        <f>IF(ISNUMBER(VLOOKUP($B49,'G1'!$D$7:$M$74,2,0)),VLOOKUP($B49,'G1'!$D$7:$M$74,2,0),"")</f>
        <v/>
      </c>
      <c r="M49" s="599" t="str">
        <f>IF(ISNUMBER(VLOOKUP($B49,'G1'!$D$7:$M$74,3,0)),VLOOKUP($B49,'G1'!$D$7:$M$74,3,0),"")</f>
        <v/>
      </c>
      <c r="N49" s="599" t="str">
        <f>IF(ISNUMBER(VLOOKUP($B49,'G1'!$D$7:$M$74,4,0)),VLOOKUP($B49,'G1'!$D$7:$M$74,4,0),"")</f>
        <v/>
      </c>
      <c r="O49" s="599" t="str">
        <f>IF(ISNUMBER(VLOOKUP($B49,'G1'!$D$7:$M$74,5,0)),VLOOKUP($B49,'G1'!$D$7:$M$74,5,0),"")</f>
        <v/>
      </c>
      <c r="P49" s="599" t="str">
        <f>IF(ISNUMBER(VLOOKUP($B49,'G1'!$D$7:$M$74,6,0)),VLOOKUP($B49,'G1'!$D$7:$M$74,6,0),"")</f>
        <v/>
      </c>
      <c r="Q49" s="598" t="str">
        <f>IF(ISNUMBER(VLOOKUP($B49,'G2'!$D$7:$M$74,2,0)),VLOOKUP($B49,'G2'!$D$7:$M$74,2,0),"")</f>
        <v/>
      </c>
      <c r="R49" s="599" t="str">
        <f>IF(ISNUMBER(VLOOKUP($B49,'G2'!$D$7:$M$74,3,0)),VLOOKUP($B49,'G2'!$D$7:$M$74,3,0),"")</f>
        <v/>
      </c>
      <c r="S49" s="599" t="str">
        <f>IF(ISNUMBER(VLOOKUP($B49,'G2'!$D$7:$M$74,4,0)),VLOOKUP($B49,'G2'!$D$7:$M$74,4,0),"")</f>
        <v/>
      </c>
      <c r="T49" s="599" t="str">
        <f>IF(ISNUMBER(VLOOKUP($B49,'G2'!$D$7:$M$74,5,0)),VLOOKUP($B49,'G2'!$D$7:$M$74,5,0),"")</f>
        <v/>
      </c>
      <c r="U49" s="599" t="str">
        <f>IF(ISNUMBER(VLOOKUP($B49,'G2'!$D$7:$M$74,6,0)),VLOOKUP($B49,'G2'!$D$7:$M$74,6,0),"")</f>
        <v/>
      </c>
      <c r="V49" s="598" t="str">
        <f>IF(ISNUMBER(VLOOKUP($B49,'G3'!$D$7:$M$74,2,0)),VLOOKUP($B49,'G3'!$D$7:$M$74,2,0),"")</f>
        <v/>
      </c>
      <c r="W49" s="599" t="str">
        <f>IF(ISNUMBER(VLOOKUP($B49,'G3'!$D$7:$M$74,3,0)),VLOOKUP($B49,'G3'!$D$7:$M$74,3,0),"")</f>
        <v/>
      </c>
      <c r="X49" s="599" t="str">
        <f>IF(ISNUMBER(VLOOKUP($B49,'G3'!$D$7:$M$74,4,0)),VLOOKUP($B49,'G3'!$D$7:$M$74,4,0),"")</f>
        <v/>
      </c>
      <c r="Y49" s="599" t="str">
        <f>IF(ISNUMBER(VLOOKUP($B49,'G3'!$D$7:$M$74,5,0)),VLOOKUP($B49,'G3'!$D$7:$M$74,5,0),"")</f>
        <v/>
      </c>
      <c r="Z49" s="599" t="str">
        <f>IF(ISNUMBER(VLOOKUP($B49,'G3'!$D$7:$M$74,6,0)),VLOOKUP($B49,'G3'!$D$7:$M$74,6,0),"")</f>
        <v/>
      </c>
      <c r="AA49" s="598" t="str">
        <f>IF(ISNUMBER(VLOOKUP($B49,#REF!,2,0)),VLOOKUP($B49,#REF!,2,0),"")</f>
        <v/>
      </c>
      <c r="AB49" s="599" t="str">
        <f>IF(ISNUMBER(VLOOKUP($B49,#REF!,3,0)),VLOOKUP($B49,#REF!,3,0),"")</f>
        <v/>
      </c>
      <c r="AC49" s="599" t="str">
        <f>IF(ISNUMBER(VLOOKUP($B49,#REF!,4,0)),VLOOKUP($B49,#REF!,4,0),"")</f>
        <v/>
      </c>
      <c r="AD49" s="599" t="str">
        <f>IF(ISNUMBER(VLOOKUP($B49,#REF!,5,0)),VLOOKUP($B49,#REF!,5,0),"")</f>
        <v/>
      </c>
      <c r="AE49" s="599" t="str">
        <f>IF(ISNUMBER(VLOOKUP($B49,#REF!,6,0)),VLOOKUP($B49,#REF!,6,0),"")</f>
        <v/>
      </c>
      <c r="AF49" s="598" t="str">
        <f>IF(ISNUMBER(VLOOKUP($B49,#REF!,2,0)),VLOOKUP($B49,#REF!,2,0),"")</f>
        <v/>
      </c>
      <c r="AG49" s="599" t="str">
        <f>IF(ISNUMBER(VLOOKUP($B49,#REF!,3,0)),VLOOKUP($B49,#REF!,3,0),"")</f>
        <v/>
      </c>
      <c r="AH49" s="599" t="str">
        <f>IF(ISNUMBER(VLOOKUP($B49,#REF!,4,0)),VLOOKUP($B49,#REF!,4,0),"")</f>
        <v/>
      </c>
      <c r="AI49" s="599" t="str">
        <f>IF(ISNUMBER(VLOOKUP($B49,#REF!,5,0)),VLOOKUP($B49,#REF!,5,0),"")</f>
        <v/>
      </c>
      <c r="AJ49" s="599" t="str">
        <f>IF(ISNUMBER(VLOOKUP($B49,#REF!,6,0)),VLOOKUP($B49,#REF!,6,0),"")</f>
        <v/>
      </c>
      <c r="AK49" s="599" t="str">
        <f>VLOOKUP($B49,Skörd!$D$5:$M$72,7,0)</f>
        <v/>
      </c>
    </row>
    <row r="50" spans="2:37" hidden="1" x14ac:dyDescent="0.2">
      <c r="B50" s="596" t="s">
        <v>1062</v>
      </c>
      <c r="C50" s="598" t="str">
        <f>IF(ISNUMBER(VLOOKUP($B50,'F1'!$D$6:$G$73,2,0)),VLOOKUP($B50,'F1'!$D$6:$G$73,2,0),"")</f>
        <v/>
      </c>
      <c r="D50" s="599" t="str">
        <f>IF(ISNUMBER(VLOOKUP($B50,'F1'!$D$6:$G$73,3,0)),VLOOKUP($B50,'F1'!$D$6:$G$73,3,0),"")</f>
        <v/>
      </c>
      <c r="E50" s="599" t="str">
        <f>IF(ISNUMBER(VLOOKUP($B50,'F1'!$D$6:$G$73,4,0)),VLOOKUP($B50,'F1'!$D$6:$G$73,4,0),"")</f>
        <v/>
      </c>
      <c r="F50" s="598" t="str">
        <f>IF(ISNUMBER(VLOOKUP($B50,'F2'!$D$6:$G$73,2,0)),VLOOKUP($B50,'F2'!$D$6:$G$73,2,0),"")</f>
        <v/>
      </c>
      <c r="G50" s="599" t="str">
        <f>IF(ISNUMBER(VLOOKUP($B50,'F2'!$D$6:$G$73,3,0)),VLOOKUP($B50,'F2'!$D$6:$G$73,3,0),"")</f>
        <v/>
      </c>
      <c r="H50" s="599" t="str">
        <f>IF(ISNUMBER(VLOOKUP($B50,'F2'!$D$6:$G$73,4,0)),VLOOKUP($B50,'F2'!$D$6:$G$73,4,0),"")</f>
        <v/>
      </c>
      <c r="I50" s="598" t="str">
        <f>IF(ISNUMBER(VLOOKUP($B50,#REF!,2,0)),VLOOKUP($B50,#REF!,2,0),"")</f>
        <v/>
      </c>
      <c r="J50" s="599" t="str">
        <f>IF(ISNUMBER(VLOOKUP($B50,#REF!,3,0)),VLOOKUP($B50,#REF!,3,0),"")</f>
        <v/>
      </c>
      <c r="K50" s="599" t="str">
        <f>IF(ISNUMBER(VLOOKUP($B50,#REF!,4,0)),VLOOKUP($B50,#REF!,4,0),"")</f>
        <v/>
      </c>
      <c r="L50" s="598" t="str">
        <f>IF(ISNUMBER(VLOOKUP($B50,'G1'!$D$7:$M$74,2,0)),VLOOKUP($B50,'G1'!$D$7:$M$74,2,0),"")</f>
        <v/>
      </c>
      <c r="M50" s="599" t="str">
        <f>IF(ISNUMBER(VLOOKUP($B50,'G1'!$D$7:$M$74,3,0)),VLOOKUP($B50,'G1'!$D$7:$M$74,3,0),"")</f>
        <v/>
      </c>
      <c r="N50" s="599" t="str">
        <f>IF(ISNUMBER(VLOOKUP($B50,'G1'!$D$7:$M$74,4,0)),VLOOKUP($B50,'G1'!$D$7:$M$74,4,0),"")</f>
        <v/>
      </c>
      <c r="O50" s="599" t="str">
        <f>IF(ISNUMBER(VLOOKUP($B50,'G1'!$D$7:$M$74,5,0)),VLOOKUP($B50,'G1'!$D$7:$M$74,5,0),"")</f>
        <v/>
      </c>
      <c r="P50" s="599" t="str">
        <f>IF(ISNUMBER(VLOOKUP($B50,'G1'!$D$7:$M$74,6,0)),VLOOKUP($B50,'G1'!$D$7:$M$74,6,0),"")</f>
        <v/>
      </c>
      <c r="Q50" s="598" t="str">
        <f>IF(ISNUMBER(VLOOKUP($B50,'G2'!$D$7:$M$74,2,0)),VLOOKUP($B50,'G2'!$D$7:$M$74,2,0),"")</f>
        <v/>
      </c>
      <c r="R50" s="599" t="str">
        <f>IF(ISNUMBER(VLOOKUP($B50,'G2'!$D$7:$M$74,3,0)),VLOOKUP($B50,'G2'!$D$7:$M$74,3,0),"")</f>
        <v/>
      </c>
      <c r="S50" s="599" t="str">
        <f>IF(ISNUMBER(VLOOKUP($B50,'G2'!$D$7:$M$74,4,0)),VLOOKUP($B50,'G2'!$D$7:$M$74,4,0),"")</f>
        <v/>
      </c>
      <c r="T50" s="599" t="str">
        <f>IF(ISNUMBER(VLOOKUP($B50,'G2'!$D$7:$M$74,5,0)),VLOOKUP($B50,'G2'!$D$7:$M$74,5,0),"")</f>
        <v/>
      </c>
      <c r="U50" s="599" t="str">
        <f>IF(ISNUMBER(VLOOKUP($B50,'G2'!$D$7:$M$74,6,0)),VLOOKUP($B50,'G2'!$D$7:$M$74,6,0),"")</f>
        <v/>
      </c>
      <c r="V50" s="598" t="str">
        <f>IF(ISNUMBER(VLOOKUP($B50,'G3'!$D$7:$M$74,2,0)),VLOOKUP($B50,'G3'!$D$7:$M$74,2,0),"")</f>
        <v/>
      </c>
      <c r="W50" s="599" t="str">
        <f>IF(ISNUMBER(VLOOKUP($B50,'G3'!$D$7:$M$74,3,0)),VLOOKUP($B50,'G3'!$D$7:$M$74,3,0),"")</f>
        <v/>
      </c>
      <c r="X50" s="599" t="str">
        <f>IF(ISNUMBER(VLOOKUP($B50,'G3'!$D$7:$M$74,4,0)),VLOOKUP($B50,'G3'!$D$7:$M$74,4,0),"")</f>
        <v/>
      </c>
      <c r="Y50" s="599" t="str">
        <f>IF(ISNUMBER(VLOOKUP($B50,'G3'!$D$7:$M$74,5,0)),VLOOKUP($B50,'G3'!$D$7:$M$74,5,0),"")</f>
        <v/>
      </c>
      <c r="Z50" s="599" t="str">
        <f>IF(ISNUMBER(VLOOKUP($B50,'G3'!$D$7:$M$74,6,0)),VLOOKUP($B50,'G3'!$D$7:$M$74,6,0),"")</f>
        <v/>
      </c>
      <c r="AA50" s="598" t="str">
        <f>IF(ISNUMBER(VLOOKUP($B50,#REF!,2,0)),VLOOKUP($B50,#REF!,2,0),"")</f>
        <v/>
      </c>
      <c r="AB50" s="599" t="str">
        <f>IF(ISNUMBER(VLOOKUP($B50,#REF!,3,0)),VLOOKUP($B50,#REF!,3,0),"")</f>
        <v/>
      </c>
      <c r="AC50" s="599" t="str">
        <f>IF(ISNUMBER(VLOOKUP($B50,#REF!,4,0)),VLOOKUP($B50,#REF!,4,0),"")</f>
        <v/>
      </c>
      <c r="AD50" s="599" t="str">
        <f>IF(ISNUMBER(VLOOKUP($B50,#REF!,5,0)),VLOOKUP($B50,#REF!,5,0),"")</f>
        <v/>
      </c>
      <c r="AE50" s="599" t="str">
        <f>IF(ISNUMBER(VLOOKUP($B50,#REF!,6,0)),VLOOKUP($B50,#REF!,6,0),"")</f>
        <v/>
      </c>
      <c r="AF50" s="598" t="str">
        <f>IF(ISNUMBER(VLOOKUP($B50,#REF!,2,0)),VLOOKUP($B50,#REF!,2,0),"")</f>
        <v/>
      </c>
      <c r="AG50" s="599" t="str">
        <f>IF(ISNUMBER(VLOOKUP($B50,#REF!,3,0)),VLOOKUP($B50,#REF!,3,0),"")</f>
        <v/>
      </c>
      <c r="AH50" s="599" t="str">
        <f>IF(ISNUMBER(VLOOKUP($B50,#REF!,4,0)),VLOOKUP($B50,#REF!,4,0),"")</f>
        <v/>
      </c>
      <c r="AI50" s="599" t="str">
        <f>IF(ISNUMBER(VLOOKUP($B50,#REF!,5,0)),VLOOKUP($B50,#REF!,5,0),"")</f>
        <v/>
      </c>
      <c r="AJ50" s="599" t="str">
        <f>IF(ISNUMBER(VLOOKUP($B50,#REF!,6,0)),VLOOKUP($B50,#REF!,6,0),"")</f>
        <v/>
      </c>
      <c r="AK50" s="599" t="str">
        <f>VLOOKUP($B50,Skörd!$D$5:$M$72,7,0)</f>
        <v/>
      </c>
    </row>
    <row r="51" spans="2:37" hidden="1" x14ac:dyDescent="0.2">
      <c r="B51" s="596" t="s">
        <v>1063</v>
      </c>
      <c r="C51" s="598" t="str">
        <f>IF(ISNUMBER(VLOOKUP($B51,'F1'!$D$6:$G$73,2,0)),VLOOKUP($B51,'F1'!$D$6:$G$73,2,0),"")</f>
        <v/>
      </c>
      <c r="D51" s="599" t="str">
        <f>IF(ISNUMBER(VLOOKUP($B51,'F1'!$D$6:$G$73,3,0)),VLOOKUP($B51,'F1'!$D$6:$G$73,3,0),"")</f>
        <v/>
      </c>
      <c r="E51" s="599" t="str">
        <f>IF(ISNUMBER(VLOOKUP($B51,'F1'!$D$6:$G$73,4,0)),VLOOKUP($B51,'F1'!$D$6:$G$73,4,0),"")</f>
        <v/>
      </c>
      <c r="F51" s="598" t="str">
        <f>IF(ISNUMBER(VLOOKUP($B51,'F2'!$D$6:$G$73,2,0)),VLOOKUP($B51,'F2'!$D$6:$G$73,2,0),"")</f>
        <v/>
      </c>
      <c r="G51" s="599" t="str">
        <f>IF(ISNUMBER(VLOOKUP($B51,'F2'!$D$6:$G$73,3,0)),VLOOKUP($B51,'F2'!$D$6:$G$73,3,0),"")</f>
        <v/>
      </c>
      <c r="H51" s="599" t="str">
        <f>IF(ISNUMBER(VLOOKUP($B51,'F2'!$D$6:$G$73,4,0)),VLOOKUP($B51,'F2'!$D$6:$G$73,4,0),"")</f>
        <v/>
      </c>
      <c r="I51" s="598" t="str">
        <f>IF(ISNUMBER(VLOOKUP($B51,#REF!,2,0)),VLOOKUP($B51,#REF!,2,0),"")</f>
        <v/>
      </c>
      <c r="J51" s="599" t="str">
        <f>IF(ISNUMBER(VLOOKUP($B51,#REF!,3,0)),VLOOKUP($B51,#REF!,3,0),"")</f>
        <v/>
      </c>
      <c r="K51" s="599" t="str">
        <f>IF(ISNUMBER(VLOOKUP($B51,#REF!,4,0)),VLOOKUP($B51,#REF!,4,0),"")</f>
        <v/>
      </c>
      <c r="L51" s="598" t="str">
        <f>IF(ISNUMBER(VLOOKUP($B51,'G1'!$D$7:$M$74,2,0)),VLOOKUP($B51,'G1'!$D$7:$M$74,2,0),"")</f>
        <v/>
      </c>
      <c r="M51" s="599" t="str">
        <f>IF(ISNUMBER(VLOOKUP($B51,'G1'!$D$7:$M$74,3,0)),VLOOKUP($B51,'G1'!$D$7:$M$74,3,0),"")</f>
        <v/>
      </c>
      <c r="N51" s="599" t="str">
        <f>IF(ISNUMBER(VLOOKUP($B51,'G1'!$D$7:$M$74,4,0)),VLOOKUP($B51,'G1'!$D$7:$M$74,4,0),"")</f>
        <v/>
      </c>
      <c r="O51" s="599" t="str">
        <f>IF(ISNUMBER(VLOOKUP($B51,'G1'!$D$7:$M$74,5,0)),VLOOKUP($B51,'G1'!$D$7:$M$74,5,0),"")</f>
        <v/>
      </c>
      <c r="P51" s="599" t="str">
        <f>IF(ISNUMBER(VLOOKUP($B51,'G1'!$D$7:$M$74,6,0)),VLOOKUP($B51,'G1'!$D$7:$M$74,6,0),"")</f>
        <v/>
      </c>
      <c r="Q51" s="598" t="str">
        <f>IF(ISNUMBER(VLOOKUP($B51,'G2'!$D$7:$M$74,2,0)),VLOOKUP($B51,'G2'!$D$7:$M$74,2,0),"")</f>
        <v/>
      </c>
      <c r="R51" s="599" t="str">
        <f>IF(ISNUMBER(VLOOKUP($B51,'G2'!$D$7:$M$74,3,0)),VLOOKUP($B51,'G2'!$D$7:$M$74,3,0),"")</f>
        <v/>
      </c>
      <c r="S51" s="599" t="str">
        <f>IF(ISNUMBER(VLOOKUP($B51,'G2'!$D$7:$M$74,4,0)),VLOOKUP($B51,'G2'!$D$7:$M$74,4,0),"")</f>
        <v/>
      </c>
      <c r="T51" s="599" t="str">
        <f>IF(ISNUMBER(VLOOKUP($B51,'G2'!$D$7:$M$74,5,0)),VLOOKUP($B51,'G2'!$D$7:$M$74,5,0),"")</f>
        <v/>
      </c>
      <c r="U51" s="599" t="str">
        <f>IF(ISNUMBER(VLOOKUP($B51,'G2'!$D$7:$M$74,6,0)),VLOOKUP($B51,'G2'!$D$7:$M$74,6,0),"")</f>
        <v/>
      </c>
      <c r="V51" s="598" t="str">
        <f>IF(ISNUMBER(VLOOKUP($B51,'G3'!$D$7:$M$74,2,0)),VLOOKUP($B51,'G3'!$D$7:$M$74,2,0),"")</f>
        <v/>
      </c>
      <c r="W51" s="599" t="str">
        <f>IF(ISNUMBER(VLOOKUP($B51,'G3'!$D$7:$M$74,3,0)),VLOOKUP($B51,'G3'!$D$7:$M$74,3,0),"")</f>
        <v/>
      </c>
      <c r="X51" s="599" t="str">
        <f>IF(ISNUMBER(VLOOKUP($B51,'G3'!$D$7:$M$74,4,0)),VLOOKUP($B51,'G3'!$D$7:$M$74,4,0),"")</f>
        <v/>
      </c>
      <c r="Y51" s="599" t="str">
        <f>IF(ISNUMBER(VLOOKUP($B51,'G3'!$D$7:$M$74,5,0)),VLOOKUP($B51,'G3'!$D$7:$M$74,5,0),"")</f>
        <v/>
      </c>
      <c r="Z51" s="599" t="str">
        <f>IF(ISNUMBER(VLOOKUP($B51,'G3'!$D$7:$M$74,6,0)),VLOOKUP($B51,'G3'!$D$7:$M$74,6,0),"")</f>
        <v/>
      </c>
      <c r="AA51" s="598" t="str">
        <f>IF(ISNUMBER(VLOOKUP($B51,#REF!,2,0)),VLOOKUP($B51,#REF!,2,0),"")</f>
        <v/>
      </c>
      <c r="AB51" s="599" t="str">
        <f>IF(ISNUMBER(VLOOKUP($B51,#REF!,3,0)),VLOOKUP($B51,#REF!,3,0),"")</f>
        <v/>
      </c>
      <c r="AC51" s="599" t="str">
        <f>IF(ISNUMBER(VLOOKUP($B51,#REF!,4,0)),VLOOKUP($B51,#REF!,4,0),"")</f>
        <v/>
      </c>
      <c r="AD51" s="599" t="str">
        <f>IF(ISNUMBER(VLOOKUP($B51,#REF!,5,0)),VLOOKUP($B51,#REF!,5,0),"")</f>
        <v/>
      </c>
      <c r="AE51" s="599" t="str">
        <f>IF(ISNUMBER(VLOOKUP($B51,#REF!,6,0)),VLOOKUP($B51,#REF!,6,0),"")</f>
        <v/>
      </c>
      <c r="AF51" s="598" t="str">
        <f>IF(ISNUMBER(VLOOKUP($B51,#REF!,2,0)),VLOOKUP($B51,#REF!,2,0),"")</f>
        <v/>
      </c>
      <c r="AG51" s="599" t="str">
        <f>IF(ISNUMBER(VLOOKUP($B51,#REF!,3,0)),VLOOKUP($B51,#REF!,3,0),"")</f>
        <v/>
      </c>
      <c r="AH51" s="599" t="str">
        <f>IF(ISNUMBER(VLOOKUP($B51,#REF!,4,0)),VLOOKUP($B51,#REF!,4,0),"")</f>
        <v/>
      </c>
      <c r="AI51" s="599" t="str">
        <f>IF(ISNUMBER(VLOOKUP($B51,#REF!,5,0)),VLOOKUP($B51,#REF!,5,0),"")</f>
        <v/>
      </c>
      <c r="AJ51" s="599" t="str">
        <f>IF(ISNUMBER(VLOOKUP($B51,#REF!,6,0)),VLOOKUP($B51,#REF!,6,0),"")</f>
        <v/>
      </c>
      <c r="AK51" s="599" t="e">
        <f>VLOOKUP($B51,Skörd!$D$5:$M$72,7,0)</f>
        <v>#N/A</v>
      </c>
    </row>
    <row r="52" spans="2:37" hidden="1" x14ac:dyDescent="0.2">
      <c r="B52" s="596" t="s">
        <v>1064</v>
      </c>
      <c r="C52" s="598" t="str">
        <f>IF(ISNUMBER(VLOOKUP($B52,'F1'!$D$6:$G$73,2,0)),VLOOKUP($B52,'F1'!$D$6:$G$73,2,0),"")</f>
        <v/>
      </c>
      <c r="D52" s="599" t="str">
        <f>IF(ISNUMBER(VLOOKUP($B52,'F1'!$D$6:$G$73,3,0)),VLOOKUP($B52,'F1'!$D$6:$G$73,3,0),"")</f>
        <v/>
      </c>
      <c r="E52" s="599" t="str">
        <f>IF(ISNUMBER(VLOOKUP($B52,'F1'!$D$6:$G$73,4,0)),VLOOKUP($B52,'F1'!$D$6:$G$73,4,0),"")</f>
        <v/>
      </c>
      <c r="F52" s="598" t="str">
        <f>IF(ISNUMBER(VLOOKUP($B52,'F2'!$D$6:$G$73,2,0)),VLOOKUP($B52,'F2'!$D$6:$G$73,2,0),"")</f>
        <v/>
      </c>
      <c r="G52" s="599" t="str">
        <f>IF(ISNUMBER(VLOOKUP($B52,'F2'!$D$6:$G$73,3,0)),VLOOKUP($B52,'F2'!$D$6:$G$73,3,0),"")</f>
        <v/>
      </c>
      <c r="H52" s="599" t="str">
        <f>IF(ISNUMBER(VLOOKUP($B52,'F2'!$D$6:$G$73,4,0)),VLOOKUP($B52,'F2'!$D$6:$G$73,4,0),"")</f>
        <v/>
      </c>
      <c r="I52" s="598" t="str">
        <f>IF(ISNUMBER(VLOOKUP($B52,#REF!,2,0)),VLOOKUP($B52,#REF!,2,0),"")</f>
        <v/>
      </c>
      <c r="J52" s="599" t="str">
        <f>IF(ISNUMBER(VLOOKUP($B52,#REF!,3,0)),VLOOKUP($B52,#REF!,3,0),"")</f>
        <v/>
      </c>
      <c r="K52" s="599" t="str">
        <f>IF(ISNUMBER(VLOOKUP($B52,#REF!,4,0)),VLOOKUP($B52,#REF!,4,0),"")</f>
        <v/>
      </c>
      <c r="L52" s="598" t="str">
        <f>IF(ISNUMBER(VLOOKUP($B52,'G1'!$D$7:$M$74,2,0)),VLOOKUP($B52,'G1'!$D$7:$M$74,2,0),"")</f>
        <v/>
      </c>
      <c r="M52" s="599" t="str">
        <f>IF(ISNUMBER(VLOOKUP($B52,'G1'!$D$7:$M$74,3,0)),VLOOKUP($B52,'G1'!$D$7:$M$74,3,0),"")</f>
        <v/>
      </c>
      <c r="N52" s="599" t="str">
        <f>IF(ISNUMBER(VLOOKUP($B52,'G1'!$D$7:$M$74,4,0)),VLOOKUP($B52,'G1'!$D$7:$M$74,4,0),"")</f>
        <v/>
      </c>
      <c r="O52" s="599" t="str">
        <f>IF(ISNUMBER(VLOOKUP($B52,'G1'!$D$7:$M$74,5,0)),VLOOKUP($B52,'G1'!$D$7:$M$74,5,0),"")</f>
        <v/>
      </c>
      <c r="P52" s="599" t="str">
        <f>IF(ISNUMBER(VLOOKUP($B52,'G1'!$D$7:$M$74,6,0)),VLOOKUP($B52,'G1'!$D$7:$M$74,6,0),"")</f>
        <v/>
      </c>
      <c r="Q52" s="598" t="str">
        <f>IF(ISNUMBER(VLOOKUP($B52,'G2'!$D$7:$M$74,2,0)),VLOOKUP($B52,'G2'!$D$7:$M$74,2,0),"")</f>
        <v/>
      </c>
      <c r="R52" s="599" t="str">
        <f>IF(ISNUMBER(VLOOKUP($B52,'G2'!$D$7:$M$74,3,0)),VLOOKUP($B52,'G2'!$D$7:$M$74,3,0),"")</f>
        <v/>
      </c>
      <c r="S52" s="599" t="str">
        <f>IF(ISNUMBER(VLOOKUP($B52,'G2'!$D$7:$M$74,4,0)),VLOOKUP($B52,'G2'!$D$7:$M$74,4,0),"")</f>
        <v/>
      </c>
      <c r="T52" s="599" t="str">
        <f>IF(ISNUMBER(VLOOKUP($B52,'G2'!$D$7:$M$74,5,0)),VLOOKUP($B52,'G2'!$D$7:$M$74,5,0),"")</f>
        <v/>
      </c>
      <c r="U52" s="599" t="str">
        <f>IF(ISNUMBER(VLOOKUP($B52,'G2'!$D$7:$M$74,6,0)),VLOOKUP($B52,'G2'!$D$7:$M$74,6,0),"")</f>
        <v/>
      </c>
      <c r="V52" s="598" t="str">
        <f>IF(ISNUMBER(VLOOKUP($B52,'G3'!$D$7:$M$74,2,0)),VLOOKUP($B52,'G3'!$D$7:$M$74,2,0),"")</f>
        <v/>
      </c>
      <c r="W52" s="599" t="str">
        <f>IF(ISNUMBER(VLOOKUP($B52,'G3'!$D$7:$M$74,3,0)),VLOOKUP($B52,'G3'!$D$7:$M$74,3,0),"")</f>
        <v/>
      </c>
      <c r="X52" s="599" t="str">
        <f>IF(ISNUMBER(VLOOKUP($B52,'G3'!$D$7:$M$74,4,0)),VLOOKUP($B52,'G3'!$D$7:$M$74,4,0),"")</f>
        <v/>
      </c>
      <c r="Y52" s="599" t="str">
        <f>IF(ISNUMBER(VLOOKUP($B52,'G3'!$D$7:$M$74,5,0)),VLOOKUP($B52,'G3'!$D$7:$M$74,5,0),"")</f>
        <v/>
      </c>
      <c r="Z52" s="599" t="str">
        <f>IF(ISNUMBER(VLOOKUP($B52,'G3'!$D$7:$M$74,6,0)),VLOOKUP($B52,'G3'!$D$7:$M$74,6,0),"")</f>
        <v/>
      </c>
      <c r="AA52" s="598" t="str">
        <f>IF(ISNUMBER(VLOOKUP($B52,#REF!,2,0)),VLOOKUP($B52,#REF!,2,0),"")</f>
        <v/>
      </c>
      <c r="AB52" s="599" t="str">
        <f>IF(ISNUMBER(VLOOKUP($B52,#REF!,3,0)),VLOOKUP($B52,#REF!,3,0),"")</f>
        <v/>
      </c>
      <c r="AC52" s="599" t="str">
        <f>IF(ISNUMBER(VLOOKUP($B52,#REF!,4,0)),VLOOKUP($B52,#REF!,4,0),"")</f>
        <v/>
      </c>
      <c r="AD52" s="599" t="str">
        <f>IF(ISNUMBER(VLOOKUP($B52,#REF!,5,0)),VLOOKUP($B52,#REF!,5,0),"")</f>
        <v/>
      </c>
      <c r="AE52" s="599" t="str">
        <f>IF(ISNUMBER(VLOOKUP($B52,#REF!,6,0)),VLOOKUP($B52,#REF!,6,0),"")</f>
        <v/>
      </c>
      <c r="AF52" s="598" t="str">
        <f>IF(ISNUMBER(VLOOKUP($B52,#REF!,2,0)),VLOOKUP($B52,#REF!,2,0),"")</f>
        <v/>
      </c>
      <c r="AG52" s="599" t="str">
        <f>IF(ISNUMBER(VLOOKUP($B52,#REF!,3,0)),VLOOKUP($B52,#REF!,3,0),"")</f>
        <v/>
      </c>
      <c r="AH52" s="599" t="str">
        <f>IF(ISNUMBER(VLOOKUP($B52,#REF!,4,0)),VLOOKUP($B52,#REF!,4,0),"")</f>
        <v/>
      </c>
      <c r="AI52" s="599" t="str">
        <f>IF(ISNUMBER(VLOOKUP($B52,#REF!,5,0)),VLOOKUP($B52,#REF!,5,0),"")</f>
        <v/>
      </c>
      <c r="AJ52" s="599" t="str">
        <f>IF(ISNUMBER(VLOOKUP($B52,#REF!,6,0)),VLOOKUP($B52,#REF!,6,0),"")</f>
        <v/>
      </c>
      <c r="AK52" s="599" t="str">
        <f>VLOOKUP($B52,Skörd!$D$5:$M$72,7,0)</f>
        <v/>
      </c>
    </row>
    <row r="53" spans="2:37" hidden="1" x14ac:dyDescent="0.2">
      <c r="B53" s="596" t="s">
        <v>1065</v>
      </c>
      <c r="C53" s="598" t="str">
        <f>IF(ISNUMBER(VLOOKUP($B53,'F1'!$D$6:$G$73,2,0)),VLOOKUP($B53,'F1'!$D$6:$G$73,2,0),"")</f>
        <v/>
      </c>
      <c r="D53" s="599" t="str">
        <f>IF(ISNUMBER(VLOOKUP($B53,'F1'!$D$6:$G$73,3,0)),VLOOKUP($B53,'F1'!$D$6:$G$73,3,0),"")</f>
        <v/>
      </c>
      <c r="E53" s="599" t="str">
        <f>IF(ISNUMBER(VLOOKUP($B53,'F1'!$D$6:$G$73,4,0)),VLOOKUP($B53,'F1'!$D$6:$G$73,4,0),"")</f>
        <v/>
      </c>
      <c r="F53" s="598" t="str">
        <f>IF(ISNUMBER(VLOOKUP($B53,'F2'!$D$6:$G$73,2,0)),VLOOKUP($B53,'F2'!$D$6:$G$73,2,0),"")</f>
        <v/>
      </c>
      <c r="G53" s="599" t="str">
        <f>IF(ISNUMBER(VLOOKUP($B53,'F2'!$D$6:$G$73,3,0)),VLOOKUP($B53,'F2'!$D$6:$G$73,3,0),"")</f>
        <v/>
      </c>
      <c r="H53" s="599" t="str">
        <f>IF(ISNUMBER(VLOOKUP($B53,'F2'!$D$6:$G$73,4,0)),VLOOKUP($B53,'F2'!$D$6:$G$73,4,0),"")</f>
        <v/>
      </c>
      <c r="I53" s="598" t="str">
        <f>IF(ISNUMBER(VLOOKUP($B53,#REF!,2,0)),VLOOKUP($B53,#REF!,2,0),"")</f>
        <v/>
      </c>
      <c r="J53" s="599" t="str">
        <f>IF(ISNUMBER(VLOOKUP($B53,#REF!,3,0)),VLOOKUP($B53,#REF!,3,0),"")</f>
        <v/>
      </c>
      <c r="K53" s="599" t="str">
        <f>IF(ISNUMBER(VLOOKUP($B53,#REF!,4,0)),VLOOKUP($B53,#REF!,4,0),"")</f>
        <v/>
      </c>
      <c r="L53" s="598" t="str">
        <f>IF(ISNUMBER(VLOOKUP($B53,'G1'!$D$7:$M$74,2,0)),VLOOKUP($B53,'G1'!$D$7:$M$74,2,0),"")</f>
        <v/>
      </c>
      <c r="M53" s="599" t="str">
        <f>IF(ISNUMBER(VLOOKUP($B53,'G1'!$D$7:$M$74,3,0)),VLOOKUP($B53,'G1'!$D$7:$M$74,3,0),"")</f>
        <v/>
      </c>
      <c r="N53" s="599" t="str">
        <f>IF(ISNUMBER(VLOOKUP($B53,'G1'!$D$7:$M$74,4,0)),VLOOKUP($B53,'G1'!$D$7:$M$74,4,0),"")</f>
        <v/>
      </c>
      <c r="O53" s="599" t="str">
        <f>IF(ISNUMBER(VLOOKUP($B53,'G1'!$D$7:$M$74,5,0)),VLOOKUP($B53,'G1'!$D$7:$M$74,5,0),"")</f>
        <v/>
      </c>
      <c r="P53" s="599" t="str">
        <f>IF(ISNUMBER(VLOOKUP($B53,'G1'!$D$7:$M$74,6,0)),VLOOKUP($B53,'G1'!$D$7:$M$74,6,0),"")</f>
        <v/>
      </c>
      <c r="Q53" s="598" t="str">
        <f>IF(ISNUMBER(VLOOKUP($B53,'G2'!$D$7:$M$74,2,0)),VLOOKUP($B53,'G2'!$D$7:$M$74,2,0),"")</f>
        <v/>
      </c>
      <c r="R53" s="599" t="str">
        <f>IF(ISNUMBER(VLOOKUP($B53,'G2'!$D$7:$M$74,3,0)),VLOOKUP($B53,'G2'!$D$7:$M$74,3,0),"")</f>
        <v/>
      </c>
      <c r="S53" s="599" t="str">
        <f>IF(ISNUMBER(VLOOKUP($B53,'G2'!$D$7:$M$74,4,0)),VLOOKUP($B53,'G2'!$D$7:$M$74,4,0),"")</f>
        <v/>
      </c>
      <c r="T53" s="599" t="str">
        <f>IF(ISNUMBER(VLOOKUP($B53,'G2'!$D$7:$M$74,5,0)),VLOOKUP($B53,'G2'!$D$7:$M$74,5,0),"")</f>
        <v/>
      </c>
      <c r="U53" s="599" t="str">
        <f>IF(ISNUMBER(VLOOKUP($B53,'G2'!$D$7:$M$74,6,0)),VLOOKUP($B53,'G2'!$D$7:$M$74,6,0),"")</f>
        <v/>
      </c>
      <c r="V53" s="598" t="str">
        <f>IF(ISNUMBER(VLOOKUP($B53,'G3'!$D$7:$M$74,2,0)),VLOOKUP($B53,'G3'!$D$7:$M$74,2,0),"")</f>
        <v/>
      </c>
      <c r="W53" s="599" t="str">
        <f>IF(ISNUMBER(VLOOKUP($B53,'G3'!$D$7:$M$74,3,0)),VLOOKUP($B53,'G3'!$D$7:$M$74,3,0),"")</f>
        <v/>
      </c>
      <c r="X53" s="599" t="str">
        <f>IF(ISNUMBER(VLOOKUP($B53,'G3'!$D$7:$M$74,4,0)),VLOOKUP($B53,'G3'!$D$7:$M$74,4,0),"")</f>
        <v/>
      </c>
      <c r="Y53" s="599" t="str">
        <f>IF(ISNUMBER(VLOOKUP($B53,'G3'!$D$7:$M$74,5,0)),VLOOKUP($B53,'G3'!$D$7:$M$74,5,0),"")</f>
        <v/>
      </c>
      <c r="Z53" s="599" t="str">
        <f>IF(ISNUMBER(VLOOKUP($B53,'G3'!$D$7:$M$74,6,0)),VLOOKUP($B53,'G3'!$D$7:$M$74,6,0),"")</f>
        <v/>
      </c>
      <c r="AA53" s="598" t="str">
        <f>IF(ISNUMBER(VLOOKUP($B53,#REF!,2,0)),VLOOKUP($B53,#REF!,2,0),"")</f>
        <v/>
      </c>
      <c r="AB53" s="599" t="str">
        <f>IF(ISNUMBER(VLOOKUP($B53,#REF!,3,0)),VLOOKUP($B53,#REF!,3,0),"")</f>
        <v/>
      </c>
      <c r="AC53" s="599" t="str">
        <f>IF(ISNUMBER(VLOOKUP($B53,#REF!,4,0)),VLOOKUP($B53,#REF!,4,0),"")</f>
        <v/>
      </c>
      <c r="AD53" s="599" t="str">
        <f>IF(ISNUMBER(VLOOKUP($B53,#REF!,5,0)),VLOOKUP($B53,#REF!,5,0),"")</f>
        <v/>
      </c>
      <c r="AE53" s="599" t="str">
        <f>IF(ISNUMBER(VLOOKUP($B53,#REF!,6,0)),VLOOKUP($B53,#REF!,6,0),"")</f>
        <v/>
      </c>
      <c r="AF53" s="598" t="str">
        <f>IF(ISNUMBER(VLOOKUP($B53,#REF!,2,0)),VLOOKUP($B53,#REF!,2,0),"")</f>
        <v/>
      </c>
      <c r="AG53" s="599" t="str">
        <f>IF(ISNUMBER(VLOOKUP($B53,#REF!,3,0)),VLOOKUP($B53,#REF!,3,0),"")</f>
        <v/>
      </c>
      <c r="AH53" s="599" t="str">
        <f>IF(ISNUMBER(VLOOKUP($B53,#REF!,4,0)),VLOOKUP($B53,#REF!,4,0),"")</f>
        <v/>
      </c>
      <c r="AI53" s="599" t="str">
        <f>IF(ISNUMBER(VLOOKUP($B53,#REF!,5,0)),VLOOKUP($B53,#REF!,5,0),"")</f>
        <v/>
      </c>
      <c r="AJ53" s="599" t="str">
        <f>IF(ISNUMBER(VLOOKUP($B53,#REF!,6,0)),VLOOKUP($B53,#REF!,6,0),"")</f>
        <v/>
      </c>
      <c r="AK53" s="599" t="str">
        <f>VLOOKUP($B53,Skörd!$D$5:$M$72,7,0)</f>
        <v/>
      </c>
    </row>
    <row r="54" spans="2:37" hidden="1" x14ac:dyDescent="0.2">
      <c r="B54" s="596" t="s">
        <v>1066</v>
      </c>
      <c r="C54" s="598" t="str">
        <f>IF(ISNUMBER(VLOOKUP($B54,'F1'!$D$6:$G$73,2,0)),VLOOKUP($B54,'F1'!$D$6:$G$73,2,0),"")</f>
        <v/>
      </c>
      <c r="D54" s="599" t="str">
        <f>IF(ISNUMBER(VLOOKUP($B54,'F1'!$D$6:$G$73,3,0)),VLOOKUP($B54,'F1'!$D$6:$G$73,3,0),"")</f>
        <v/>
      </c>
      <c r="E54" s="599" t="str">
        <f>IF(ISNUMBER(VLOOKUP($B54,'F1'!$D$6:$G$73,4,0)),VLOOKUP($B54,'F1'!$D$6:$G$73,4,0),"")</f>
        <v/>
      </c>
      <c r="F54" s="598" t="str">
        <f>IF(ISNUMBER(VLOOKUP($B54,'F2'!$D$6:$G$73,2,0)),VLOOKUP($B54,'F2'!$D$6:$G$73,2,0),"")</f>
        <v/>
      </c>
      <c r="G54" s="599" t="str">
        <f>IF(ISNUMBER(VLOOKUP($B54,'F2'!$D$6:$G$73,3,0)),VLOOKUP($B54,'F2'!$D$6:$G$73,3,0),"")</f>
        <v/>
      </c>
      <c r="H54" s="599" t="str">
        <f>IF(ISNUMBER(VLOOKUP($B54,'F2'!$D$6:$G$73,4,0)),VLOOKUP($B54,'F2'!$D$6:$G$73,4,0),"")</f>
        <v/>
      </c>
      <c r="I54" s="598" t="str">
        <f>IF(ISNUMBER(VLOOKUP($B54,#REF!,2,0)),VLOOKUP($B54,#REF!,2,0),"")</f>
        <v/>
      </c>
      <c r="J54" s="599" t="str">
        <f>IF(ISNUMBER(VLOOKUP($B54,#REF!,3,0)),VLOOKUP($B54,#REF!,3,0),"")</f>
        <v/>
      </c>
      <c r="K54" s="599" t="str">
        <f>IF(ISNUMBER(VLOOKUP($B54,#REF!,4,0)),VLOOKUP($B54,#REF!,4,0),"")</f>
        <v/>
      </c>
      <c r="L54" s="598" t="str">
        <f>IF(ISNUMBER(VLOOKUP($B54,'G1'!$D$7:$M$74,2,0)),VLOOKUP($B54,'G1'!$D$7:$M$74,2,0),"")</f>
        <v/>
      </c>
      <c r="M54" s="599" t="str">
        <f>IF(ISNUMBER(VLOOKUP($B54,'G1'!$D$7:$M$74,3,0)),VLOOKUP($B54,'G1'!$D$7:$M$74,3,0),"")</f>
        <v/>
      </c>
      <c r="N54" s="599" t="str">
        <f>IF(ISNUMBER(VLOOKUP($B54,'G1'!$D$7:$M$74,4,0)),VLOOKUP($B54,'G1'!$D$7:$M$74,4,0),"")</f>
        <v/>
      </c>
      <c r="O54" s="599" t="str">
        <f>IF(ISNUMBER(VLOOKUP($B54,'G1'!$D$7:$M$74,5,0)),VLOOKUP($B54,'G1'!$D$7:$M$74,5,0),"")</f>
        <v/>
      </c>
      <c r="P54" s="599" t="str">
        <f>IF(ISNUMBER(VLOOKUP($B54,'G1'!$D$7:$M$74,6,0)),VLOOKUP($B54,'G1'!$D$7:$M$74,6,0),"")</f>
        <v/>
      </c>
      <c r="Q54" s="598" t="str">
        <f>IF(ISNUMBER(VLOOKUP($B54,'G2'!$D$7:$M$74,2,0)),VLOOKUP($B54,'G2'!$D$7:$M$74,2,0),"")</f>
        <v/>
      </c>
      <c r="R54" s="599" t="str">
        <f>IF(ISNUMBER(VLOOKUP($B54,'G2'!$D$7:$M$74,3,0)),VLOOKUP($B54,'G2'!$D$7:$M$74,3,0),"")</f>
        <v/>
      </c>
      <c r="S54" s="599" t="str">
        <f>IF(ISNUMBER(VLOOKUP($B54,'G2'!$D$7:$M$74,4,0)),VLOOKUP($B54,'G2'!$D$7:$M$74,4,0),"")</f>
        <v/>
      </c>
      <c r="T54" s="599" t="str">
        <f>IF(ISNUMBER(VLOOKUP($B54,'G2'!$D$7:$M$74,5,0)),VLOOKUP($B54,'G2'!$D$7:$M$74,5,0),"")</f>
        <v/>
      </c>
      <c r="U54" s="599" t="str">
        <f>IF(ISNUMBER(VLOOKUP($B54,'G2'!$D$7:$M$74,6,0)),VLOOKUP($B54,'G2'!$D$7:$M$74,6,0),"")</f>
        <v/>
      </c>
      <c r="V54" s="598" t="str">
        <f>IF(ISNUMBER(VLOOKUP($B54,'G3'!$D$7:$M$74,2,0)),VLOOKUP($B54,'G3'!$D$7:$M$74,2,0),"")</f>
        <v/>
      </c>
      <c r="W54" s="599" t="str">
        <f>IF(ISNUMBER(VLOOKUP($B54,'G3'!$D$7:$M$74,3,0)),VLOOKUP($B54,'G3'!$D$7:$M$74,3,0),"")</f>
        <v/>
      </c>
      <c r="X54" s="599" t="str">
        <f>IF(ISNUMBER(VLOOKUP($B54,'G3'!$D$7:$M$74,4,0)),VLOOKUP($B54,'G3'!$D$7:$M$74,4,0),"")</f>
        <v/>
      </c>
      <c r="Y54" s="599" t="str">
        <f>IF(ISNUMBER(VLOOKUP($B54,'G3'!$D$7:$M$74,5,0)),VLOOKUP($B54,'G3'!$D$7:$M$74,5,0),"")</f>
        <v/>
      </c>
      <c r="Z54" s="599" t="str">
        <f>IF(ISNUMBER(VLOOKUP($B54,'G3'!$D$7:$M$74,6,0)),VLOOKUP($B54,'G3'!$D$7:$M$74,6,0),"")</f>
        <v/>
      </c>
      <c r="AA54" s="598" t="str">
        <f>IF(ISNUMBER(VLOOKUP($B54,#REF!,2,0)),VLOOKUP($B54,#REF!,2,0),"")</f>
        <v/>
      </c>
      <c r="AB54" s="599" t="str">
        <f>IF(ISNUMBER(VLOOKUP($B54,#REF!,3,0)),VLOOKUP($B54,#REF!,3,0),"")</f>
        <v/>
      </c>
      <c r="AC54" s="599" t="str">
        <f>IF(ISNUMBER(VLOOKUP($B54,#REF!,4,0)),VLOOKUP($B54,#REF!,4,0),"")</f>
        <v/>
      </c>
      <c r="AD54" s="599" t="str">
        <f>IF(ISNUMBER(VLOOKUP($B54,#REF!,5,0)),VLOOKUP($B54,#REF!,5,0),"")</f>
        <v/>
      </c>
      <c r="AE54" s="599" t="str">
        <f>IF(ISNUMBER(VLOOKUP($B54,#REF!,6,0)),VLOOKUP($B54,#REF!,6,0),"")</f>
        <v/>
      </c>
      <c r="AF54" s="598" t="str">
        <f>IF(ISNUMBER(VLOOKUP($B54,#REF!,2,0)),VLOOKUP($B54,#REF!,2,0),"")</f>
        <v/>
      </c>
      <c r="AG54" s="599" t="str">
        <f>IF(ISNUMBER(VLOOKUP($B54,#REF!,3,0)),VLOOKUP($B54,#REF!,3,0),"")</f>
        <v/>
      </c>
      <c r="AH54" s="599" t="str">
        <f>IF(ISNUMBER(VLOOKUP($B54,#REF!,4,0)),VLOOKUP($B54,#REF!,4,0),"")</f>
        <v/>
      </c>
      <c r="AI54" s="599" t="str">
        <f>IF(ISNUMBER(VLOOKUP($B54,#REF!,5,0)),VLOOKUP($B54,#REF!,5,0),"")</f>
        <v/>
      </c>
      <c r="AJ54" s="599" t="str">
        <f>IF(ISNUMBER(VLOOKUP($B54,#REF!,6,0)),VLOOKUP($B54,#REF!,6,0),"")</f>
        <v/>
      </c>
      <c r="AK54" s="599" t="str">
        <f>VLOOKUP($B54,Skörd!$D$5:$M$72,7,0)</f>
        <v/>
      </c>
    </row>
    <row r="55" spans="2:37" hidden="1" x14ac:dyDescent="0.2">
      <c r="B55" s="596" t="s">
        <v>1067</v>
      </c>
      <c r="C55" s="598" t="str">
        <f>IF(ISNUMBER(VLOOKUP($B55,'F1'!$D$6:$G$73,2,0)),VLOOKUP($B55,'F1'!$D$6:$G$73,2,0),"")</f>
        <v/>
      </c>
      <c r="D55" s="599" t="str">
        <f>IF(ISNUMBER(VLOOKUP($B55,'F1'!$D$6:$G$73,3,0)),VLOOKUP($B55,'F1'!$D$6:$G$73,3,0),"")</f>
        <v/>
      </c>
      <c r="E55" s="599" t="str">
        <f>IF(ISNUMBER(VLOOKUP($B55,'F1'!$D$6:$G$73,4,0)),VLOOKUP($B55,'F1'!$D$6:$G$73,4,0),"")</f>
        <v/>
      </c>
      <c r="F55" s="598" t="str">
        <f>IF(ISNUMBER(VLOOKUP($B55,'F2'!$D$6:$G$73,2,0)),VLOOKUP($B55,'F2'!$D$6:$G$73,2,0),"")</f>
        <v/>
      </c>
      <c r="G55" s="599" t="str">
        <f>IF(ISNUMBER(VLOOKUP($B55,'F2'!$D$6:$G$73,3,0)),VLOOKUP($B55,'F2'!$D$6:$G$73,3,0),"")</f>
        <v/>
      </c>
      <c r="H55" s="599" t="str">
        <f>IF(ISNUMBER(VLOOKUP($B55,'F2'!$D$6:$G$73,4,0)),VLOOKUP($B55,'F2'!$D$6:$G$73,4,0),"")</f>
        <v/>
      </c>
      <c r="I55" s="598" t="str">
        <f>IF(ISNUMBER(VLOOKUP($B55,#REF!,2,0)),VLOOKUP($B55,#REF!,2,0),"")</f>
        <v/>
      </c>
      <c r="J55" s="599" t="str">
        <f>IF(ISNUMBER(VLOOKUP($B55,#REF!,3,0)),VLOOKUP($B55,#REF!,3,0),"")</f>
        <v/>
      </c>
      <c r="K55" s="599" t="str">
        <f>IF(ISNUMBER(VLOOKUP($B55,#REF!,4,0)),VLOOKUP($B55,#REF!,4,0),"")</f>
        <v/>
      </c>
      <c r="L55" s="598" t="str">
        <f>IF(ISNUMBER(VLOOKUP($B55,'G1'!$D$7:$M$74,2,0)),VLOOKUP($B55,'G1'!$D$7:$M$74,2,0),"")</f>
        <v/>
      </c>
      <c r="M55" s="599" t="str">
        <f>IF(ISNUMBER(VLOOKUP($B55,'G1'!$D$7:$M$74,3,0)),VLOOKUP($B55,'G1'!$D$7:$M$74,3,0),"")</f>
        <v/>
      </c>
      <c r="N55" s="599" t="str">
        <f>IF(ISNUMBER(VLOOKUP($B55,'G1'!$D$7:$M$74,4,0)),VLOOKUP($B55,'G1'!$D$7:$M$74,4,0),"")</f>
        <v/>
      </c>
      <c r="O55" s="599" t="str">
        <f>IF(ISNUMBER(VLOOKUP($B55,'G1'!$D$7:$M$74,5,0)),VLOOKUP($B55,'G1'!$D$7:$M$74,5,0),"")</f>
        <v/>
      </c>
      <c r="P55" s="599" t="str">
        <f>IF(ISNUMBER(VLOOKUP($B55,'G1'!$D$7:$M$74,6,0)),VLOOKUP($B55,'G1'!$D$7:$M$74,6,0),"")</f>
        <v/>
      </c>
      <c r="Q55" s="598" t="str">
        <f>IF(ISNUMBER(VLOOKUP($B55,'G2'!$D$7:$M$74,2,0)),VLOOKUP($B55,'G2'!$D$7:$M$74,2,0),"")</f>
        <v/>
      </c>
      <c r="R55" s="599" t="str">
        <f>IF(ISNUMBER(VLOOKUP($B55,'G2'!$D$7:$M$74,3,0)),VLOOKUP($B55,'G2'!$D$7:$M$74,3,0),"")</f>
        <v/>
      </c>
      <c r="S55" s="599" t="str">
        <f>IF(ISNUMBER(VLOOKUP($B55,'G2'!$D$7:$M$74,4,0)),VLOOKUP($B55,'G2'!$D$7:$M$74,4,0),"")</f>
        <v/>
      </c>
      <c r="T55" s="599" t="str">
        <f>IF(ISNUMBER(VLOOKUP($B55,'G2'!$D$7:$M$74,5,0)),VLOOKUP($B55,'G2'!$D$7:$M$74,5,0),"")</f>
        <v/>
      </c>
      <c r="U55" s="599" t="str">
        <f>IF(ISNUMBER(VLOOKUP($B55,'G2'!$D$7:$M$74,6,0)),VLOOKUP($B55,'G2'!$D$7:$M$74,6,0),"")</f>
        <v/>
      </c>
      <c r="V55" s="598" t="str">
        <f>IF(ISNUMBER(VLOOKUP($B55,'G3'!$D$7:$M$74,2,0)),VLOOKUP($B55,'G3'!$D$7:$M$74,2,0),"")</f>
        <v/>
      </c>
      <c r="W55" s="599" t="str">
        <f>IF(ISNUMBER(VLOOKUP($B55,'G3'!$D$7:$M$74,3,0)),VLOOKUP($B55,'G3'!$D$7:$M$74,3,0),"")</f>
        <v/>
      </c>
      <c r="X55" s="599" t="str">
        <f>IF(ISNUMBER(VLOOKUP($B55,'G3'!$D$7:$M$74,4,0)),VLOOKUP($B55,'G3'!$D$7:$M$74,4,0),"")</f>
        <v/>
      </c>
      <c r="Y55" s="599" t="str">
        <f>IF(ISNUMBER(VLOOKUP($B55,'G3'!$D$7:$M$74,5,0)),VLOOKUP($B55,'G3'!$D$7:$M$74,5,0),"")</f>
        <v/>
      </c>
      <c r="Z55" s="599" t="str">
        <f>IF(ISNUMBER(VLOOKUP($B55,'G3'!$D$7:$M$74,6,0)),VLOOKUP($B55,'G3'!$D$7:$M$74,6,0),"")</f>
        <v/>
      </c>
      <c r="AA55" s="598" t="str">
        <f>IF(ISNUMBER(VLOOKUP($B55,#REF!,2,0)),VLOOKUP($B55,#REF!,2,0),"")</f>
        <v/>
      </c>
      <c r="AB55" s="599" t="str">
        <f>IF(ISNUMBER(VLOOKUP($B55,#REF!,3,0)),VLOOKUP($B55,#REF!,3,0),"")</f>
        <v/>
      </c>
      <c r="AC55" s="599" t="str">
        <f>IF(ISNUMBER(VLOOKUP($B55,#REF!,4,0)),VLOOKUP($B55,#REF!,4,0),"")</f>
        <v/>
      </c>
      <c r="AD55" s="599" t="str">
        <f>IF(ISNUMBER(VLOOKUP($B55,#REF!,5,0)),VLOOKUP($B55,#REF!,5,0),"")</f>
        <v/>
      </c>
      <c r="AE55" s="599" t="str">
        <f>IF(ISNUMBER(VLOOKUP($B55,#REF!,6,0)),VLOOKUP($B55,#REF!,6,0),"")</f>
        <v/>
      </c>
      <c r="AF55" s="598" t="str">
        <f>IF(ISNUMBER(VLOOKUP($B55,#REF!,2,0)),VLOOKUP($B55,#REF!,2,0),"")</f>
        <v/>
      </c>
      <c r="AG55" s="599" t="str">
        <f>IF(ISNUMBER(VLOOKUP($B55,#REF!,3,0)),VLOOKUP($B55,#REF!,3,0),"")</f>
        <v/>
      </c>
      <c r="AH55" s="599" t="str">
        <f>IF(ISNUMBER(VLOOKUP($B55,#REF!,4,0)),VLOOKUP($B55,#REF!,4,0),"")</f>
        <v/>
      </c>
      <c r="AI55" s="599" t="str">
        <f>IF(ISNUMBER(VLOOKUP($B55,#REF!,5,0)),VLOOKUP($B55,#REF!,5,0),"")</f>
        <v/>
      </c>
      <c r="AJ55" s="599" t="str">
        <f>IF(ISNUMBER(VLOOKUP($B55,#REF!,6,0)),VLOOKUP($B55,#REF!,6,0),"")</f>
        <v/>
      </c>
      <c r="AK55" s="599" t="str">
        <f>VLOOKUP($B55,Skörd!$D$5:$M$72,7,0)</f>
        <v/>
      </c>
    </row>
    <row r="56" spans="2:37" hidden="1" x14ac:dyDescent="0.2">
      <c r="B56" s="596" t="s">
        <v>1068</v>
      </c>
      <c r="C56" s="598" t="str">
        <f>IF(ISNUMBER(VLOOKUP($B56,'F1'!$D$6:$G$73,2,0)),VLOOKUP($B56,'F1'!$D$6:$G$73,2,0),"")</f>
        <v/>
      </c>
      <c r="D56" s="599" t="str">
        <f>IF(ISNUMBER(VLOOKUP($B56,'F1'!$D$6:$G$73,3,0)),VLOOKUP($B56,'F1'!$D$6:$G$73,3,0),"")</f>
        <v/>
      </c>
      <c r="E56" s="599" t="str">
        <f>IF(ISNUMBER(VLOOKUP($B56,'F1'!$D$6:$G$73,4,0)),VLOOKUP($B56,'F1'!$D$6:$G$73,4,0),"")</f>
        <v/>
      </c>
      <c r="F56" s="598" t="str">
        <f>IF(ISNUMBER(VLOOKUP($B56,'F2'!$D$6:$G$73,2,0)),VLOOKUP($B56,'F2'!$D$6:$G$73,2,0),"")</f>
        <v/>
      </c>
      <c r="G56" s="599" t="str">
        <f>IF(ISNUMBER(VLOOKUP($B56,'F2'!$D$6:$G$73,3,0)),VLOOKUP($B56,'F2'!$D$6:$G$73,3,0),"")</f>
        <v/>
      </c>
      <c r="H56" s="599" t="str">
        <f>IF(ISNUMBER(VLOOKUP($B56,'F2'!$D$6:$G$73,4,0)),VLOOKUP($B56,'F2'!$D$6:$G$73,4,0),"")</f>
        <v/>
      </c>
      <c r="I56" s="598" t="str">
        <f>IF(ISNUMBER(VLOOKUP($B56,#REF!,2,0)),VLOOKUP($B56,#REF!,2,0),"")</f>
        <v/>
      </c>
      <c r="J56" s="599" t="str">
        <f>IF(ISNUMBER(VLOOKUP($B56,#REF!,3,0)),VLOOKUP($B56,#REF!,3,0),"")</f>
        <v/>
      </c>
      <c r="K56" s="599" t="str">
        <f>IF(ISNUMBER(VLOOKUP($B56,#REF!,4,0)),VLOOKUP($B56,#REF!,4,0),"")</f>
        <v/>
      </c>
      <c r="L56" s="598" t="str">
        <f>IF(ISNUMBER(VLOOKUP($B56,'G1'!$D$7:$M$74,2,0)),VLOOKUP($B56,'G1'!$D$7:$M$74,2,0),"")</f>
        <v/>
      </c>
      <c r="M56" s="599" t="str">
        <f>IF(ISNUMBER(VLOOKUP($B56,'G1'!$D$7:$M$74,3,0)),VLOOKUP($B56,'G1'!$D$7:$M$74,3,0),"")</f>
        <v/>
      </c>
      <c r="N56" s="599" t="str">
        <f>IF(ISNUMBER(VLOOKUP($B56,'G1'!$D$7:$M$74,4,0)),VLOOKUP($B56,'G1'!$D$7:$M$74,4,0),"")</f>
        <v/>
      </c>
      <c r="O56" s="599" t="str">
        <f>IF(ISNUMBER(VLOOKUP($B56,'G1'!$D$7:$M$74,5,0)),VLOOKUP($B56,'G1'!$D$7:$M$74,5,0),"")</f>
        <v/>
      </c>
      <c r="P56" s="599" t="str">
        <f>IF(ISNUMBER(VLOOKUP($B56,'G1'!$D$7:$M$74,6,0)),VLOOKUP($B56,'G1'!$D$7:$M$74,6,0),"")</f>
        <v/>
      </c>
      <c r="Q56" s="598" t="str">
        <f>IF(ISNUMBER(VLOOKUP($B56,'G2'!$D$7:$M$74,2,0)),VLOOKUP($B56,'G2'!$D$7:$M$74,2,0),"")</f>
        <v/>
      </c>
      <c r="R56" s="599" t="str">
        <f>IF(ISNUMBER(VLOOKUP($B56,'G2'!$D$7:$M$74,3,0)),VLOOKUP($B56,'G2'!$D$7:$M$74,3,0),"")</f>
        <v/>
      </c>
      <c r="S56" s="599" t="str">
        <f>IF(ISNUMBER(VLOOKUP($B56,'G2'!$D$7:$M$74,4,0)),VLOOKUP($B56,'G2'!$D$7:$M$74,4,0),"")</f>
        <v/>
      </c>
      <c r="T56" s="599" t="str">
        <f>IF(ISNUMBER(VLOOKUP($B56,'G2'!$D$7:$M$74,5,0)),VLOOKUP($B56,'G2'!$D$7:$M$74,5,0),"")</f>
        <v/>
      </c>
      <c r="U56" s="599" t="str">
        <f>IF(ISNUMBER(VLOOKUP($B56,'G2'!$D$7:$M$74,6,0)),VLOOKUP($B56,'G2'!$D$7:$M$74,6,0),"")</f>
        <v/>
      </c>
      <c r="V56" s="598" t="str">
        <f>IF(ISNUMBER(VLOOKUP($B56,'G3'!$D$7:$M$74,2,0)),VLOOKUP($B56,'G3'!$D$7:$M$74,2,0),"")</f>
        <v/>
      </c>
      <c r="W56" s="599" t="str">
        <f>IF(ISNUMBER(VLOOKUP($B56,'G3'!$D$7:$M$74,3,0)),VLOOKUP($B56,'G3'!$D$7:$M$74,3,0),"")</f>
        <v/>
      </c>
      <c r="X56" s="599" t="str">
        <f>IF(ISNUMBER(VLOOKUP($B56,'G3'!$D$7:$M$74,4,0)),VLOOKUP($B56,'G3'!$D$7:$M$74,4,0),"")</f>
        <v/>
      </c>
      <c r="Y56" s="599" t="str">
        <f>IF(ISNUMBER(VLOOKUP($B56,'G3'!$D$7:$M$74,5,0)),VLOOKUP($B56,'G3'!$D$7:$M$74,5,0),"")</f>
        <v/>
      </c>
      <c r="Z56" s="599" t="str">
        <f>IF(ISNUMBER(VLOOKUP($B56,'G3'!$D$7:$M$74,6,0)),VLOOKUP($B56,'G3'!$D$7:$M$74,6,0),"")</f>
        <v/>
      </c>
      <c r="AA56" s="598" t="str">
        <f>IF(ISNUMBER(VLOOKUP($B56,#REF!,2,0)),VLOOKUP($B56,#REF!,2,0),"")</f>
        <v/>
      </c>
      <c r="AB56" s="599" t="str">
        <f>IF(ISNUMBER(VLOOKUP($B56,#REF!,3,0)),VLOOKUP($B56,#REF!,3,0),"")</f>
        <v/>
      </c>
      <c r="AC56" s="599" t="str">
        <f>IF(ISNUMBER(VLOOKUP($B56,#REF!,4,0)),VLOOKUP($B56,#REF!,4,0),"")</f>
        <v/>
      </c>
      <c r="AD56" s="599" t="str">
        <f>IF(ISNUMBER(VLOOKUP($B56,#REF!,5,0)),VLOOKUP($B56,#REF!,5,0),"")</f>
        <v/>
      </c>
      <c r="AE56" s="599" t="str">
        <f>IF(ISNUMBER(VLOOKUP($B56,#REF!,6,0)),VLOOKUP($B56,#REF!,6,0),"")</f>
        <v/>
      </c>
      <c r="AF56" s="598" t="str">
        <f>IF(ISNUMBER(VLOOKUP($B56,#REF!,2,0)),VLOOKUP($B56,#REF!,2,0),"")</f>
        <v/>
      </c>
      <c r="AG56" s="599" t="str">
        <f>IF(ISNUMBER(VLOOKUP($B56,#REF!,3,0)),VLOOKUP($B56,#REF!,3,0),"")</f>
        <v/>
      </c>
      <c r="AH56" s="599" t="str">
        <f>IF(ISNUMBER(VLOOKUP($B56,#REF!,4,0)),VLOOKUP($B56,#REF!,4,0),"")</f>
        <v/>
      </c>
      <c r="AI56" s="599" t="str">
        <f>IF(ISNUMBER(VLOOKUP($B56,#REF!,5,0)),VLOOKUP($B56,#REF!,5,0),"")</f>
        <v/>
      </c>
      <c r="AJ56" s="599" t="str">
        <f>IF(ISNUMBER(VLOOKUP($B56,#REF!,6,0)),VLOOKUP($B56,#REF!,6,0),"")</f>
        <v/>
      </c>
      <c r="AK56" s="599" t="str">
        <f>VLOOKUP($B56,Skörd!$D$5:$M$72,7,0)</f>
        <v/>
      </c>
    </row>
    <row r="57" spans="2:37" hidden="1" x14ac:dyDescent="0.2">
      <c r="B57" s="596" t="s">
        <v>1069</v>
      </c>
      <c r="C57" s="598" t="str">
        <f>IF(ISNUMBER(VLOOKUP($B57,'F1'!$D$6:$G$73,2,0)),VLOOKUP($B57,'F1'!$D$6:$G$73,2,0),"")</f>
        <v/>
      </c>
      <c r="D57" s="599" t="str">
        <f>IF(ISNUMBER(VLOOKUP($B57,'F1'!$D$6:$G$73,3,0)),VLOOKUP($B57,'F1'!$D$6:$G$73,3,0),"")</f>
        <v/>
      </c>
      <c r="E57" s="599" t="str">
        <f>IF(ISNUMBER(VLOOKUP($B57,'F1'!$D$6:$G$73,4,0)),VLOOKUP($B57,'F1'!$D$6:$G$73,4,0),"")</f>
        <v/>
      </c>
      <c r="F57" s="598" t="str">
        <f>IF(ISNUMBER(VLOOKUP($B57,'F2'!$D$6:$G$73,2,0)),VLOOKUP($B57,'F2'!$D$6:$G$73,2,0),"")</f>
        <v/>
      </c>
      <c r="G57" s="599" t="str">
        <f>IF(ISNUMBER(VLOOKUP($B57,'F2'!$D$6:$G$73,3,0)),VLOOKUP($B57,'F2'!$D$6:$G$73,3,0),"")</f>
        <v/>
      </c>
      <c r="H57" s="599" t="str">
        <f>IF(ISNUMBER(VLOOKUP($B57,'F2'!$D$6:$G$73,4,0)),VLOOKUP($B57,'F2'!$D$6:$G$73,4,0),"")</f>
        <v/>
      </c>
      <c r="I57" s="598" t="str">
        <f>IF(ISNUMBER(VLOOKUP($B57,#REF!,2,0)),VLOOKUP($B57,#REF!,2,0),"")</f>
        <v/>
      </c>
      <c r="J57" s="599" t="str">
        <f>IF(ISNUMBER(VLOOKUP($B57,#REF!,3,0)),VLOOKUP($B57,#REF!,3,0),"")</f>
        <v/>
      </c>
      <c r="K57" s="599" t="str">
        <f>IF(ISNUMBER(VLOOKUP($B57,#REF!,4,0)),VLOOKUP($B57,#REF!,4,0),"")</f>
        <v/>
      </c>
      <c r="L57" s="598" t="str">
        <f>IF(ISNUMBER(VLOOKUP($B57,'G1'!$D$7:$M$74,2,0)),VLOOKUP($B57,'G1'!$D$7:$M$74,2,0),"")</f>
        <v/>
      </c>
      <c r="M57" s="599" t="str">
        <f>IF(ISNUMBER(VLOOKUP($B57,'G1'!$D$7:$M$74,3,0)),VLOOKUP($B57,'G1'!$D$7:$M$74,3,0),"")</f>
        <v/>
      </c>
      <c r="N57" s="599" t="str">
        <f>IF(ISNUMBER(VLOOKUP($B57,'G1'!$D$7:$M$74,4,0)),VLOOKUP($B57,'G1'!$D$7:$M$74,4,0),"")</f>
        <v/>
      </c>
      <c r="O57" s="599" t="str">
        <f>IF(ISNUMBER(VLOOKUP($B57,'G1'!$D$7:$M$74,5,0)),VLOOKUP($B57,'G1'!$D$7:$M$74,5,0),"")</f>
        <v/>
      </c>
      <c r="P57" s="599" t="str">
        <f>IF(ISNUMBER(VLOOKUP($B57,'G1'!$D$7:$M$74,6,0)),VLOOKUP($B57,'G1'!$D$7:$M$74,6,0),"")</f>
        <v/>
      </c>
      <c r="Q57" s="598" t="str">
        <f>IF(ISNUMBER(VLOOKUP($B57,'G2'!$D$7:$M$74,2,0)),VLOOKUP($B57,'G2'!$D$7:$M$74,2,0),"")</f>
        <v/>
      </c>
      <c r="R57" s="599" t="str">
        <f>IF(ISNUMBER(VLOOKUP($B57,'G2'!$D$7:$M$74,3,0)),VLOOKUP($B57,'G2'!$D$7:$M$74,3,0),"")</f>
        <v/>
      </c>
      <c r="S57" s="599" t="str">
        <f>IF(ISNUMBER(VLOOKUP($B57,'G2'!$D$7:$M$74,4,0)),VLOOKUP($B57,'G2'!$D$7:$M$74,4,0),"")</f>
        <v/>
      </c>
      <c r="T57" s="599" t="str">
        <f>IF(ISNUMBER(VLOOKUP($B57,'G2'!$D$7:$M$74,5,0)),VLOOKUP($B57,'G2'!$D$7:$M$74,5,0),"")</f>
        <v/>
      </c>
      <c r="U57" s="599" t="str">
        <f>IF(ISNUMBER(VLOOKUP($B57,'G2'!$D$7:$M$74,6,0)),VLOOKUP($B57,'G2'!$D$7:$M$74,6,0),"")</f>
        <v/>
      </c>
      <c r="V57" s="598" t="str">
        <f>IF(ISNUMBER(VLOOKUP($B57,'G3'!$D$7:$M$74,2,0)),VLOOKUP($B57,'G3'!$D$7:$M$74,2,0),"")</f>
        <v/>
      </c>
      <c r="W57" s="599" t="str">
        <f>IF(ISNUMBER(VLOOKUP($B57,'G3'!$D$7:$M$74,3,0)),VLOOKUP($B57,'G3'!$D$7:$M$74,3,0),"")</f>
        <v/>
      </c>
      <c r="X57" s="599" t="str">
        <f>IF(ISNUMBER(VLOOKUP($B57,'G3'!$D$7:$M$74,4,0)),VLOOKUP($B57,'G3'!$D$7:$M$74,4,0),"")</f>
        <v/>
      </c>
      <c r="Y57" s="599" t="str">
        <f>IF(ISNUMBER(VLOOKUP($B57,'G3'!$D$7:$M$74,5,0)),VLOOKUP($B57,'G3'!$D$7:$M$74,5,0),"")</f>
        <v/>
      </c>
      <c r="Z57" s="599" t="str">
        <f>IF(ISNUMBER(VLOOKUP($B57,'G3'!$D$7:$M$74,6,0)),VLOOKUP($B57,'G3'!$D$7:$M$74,6,0),"")</f>
        <v/>
      </c>
      <c r="AA57" s="598" t="str">
        <f>IF(ISNUMBER(VLOOKUP($B57,#REF!,2,0)),VLOOKUP($B57,#REF!,2,0),"")</f>
        <v/>
      </c>
      <c r="AB57" s="599" t="str">
        <f>IF(ISNUMBER(VLOOKUP($B57,#REF!,3,0)),VLOOKUP($B57,#REF!,3,0),"")</f>
        <v/>
      </c>
      <c r="AC57" s="599" t="str">
        <f>IF(ISNUMBER(VLOOKUP($B57,#REF!,4,0)),VLOOKUP($B57,#REF!,4,0),"")</f>
        <v/>
      </c>
      <c r="AD57" s="599" t="str">
        <f>IF(ISNUMBER(VLOOKUP($B57,#REF!,5,0)),VLOOKUP($B57,#REF!,5,0),"")</f>
        <v/>
      </c>
      <c r="AE57" s="599" t="str">
        <f>IF(ISNUMBER(VLOOKUP($B57,#REF!,6,0)),VLOOKUP($B57,#REF!,6,0),"")</f>
        <v/>
      </c>
      <c r="AF57" s="598" t="str">
        <f>IF(ISNUMBER(VLOOKUP($B57,#REF!,2,0)),VLOOKUP($B57,#REF!,2,0),"")</f>
        <v/>
      </c>
      <c r="AG57" s="599" t="str">
        <f>IF(ISNUMBER(VLOOKUP($B57,#REF!,3,0)),VLOOKUP($B57,#REF!,3,0),"")</f>
        <v/>
      </c>
      <c r="AH57" s="599" t="str">
        <f>IF(ISNUMBER(VLOOKUP($B57,#REF!,4,0)),VLOOKUP($B57,#REF!,4,0),"")</f>
        <v/>
      </c>
      <c r="AI57" s="599" t="str">
        <f>IF(ISNUMBER(VLOOKUP($B57,#REF!,5,0)),VLOOKUP($B57,#REF!,5,0),"")</f>
        <v/>
      </c>
      <c r="AJ57" s="599" t="str">
        <f>IF(ISNUMBER(VLOOKUP($B57,#REF!,6,0)),VLOOKUP($B57,#REF!,6,0),"")</f>
        <v/>
      </c>
      <c r="AK57" s="599" t="str">
        <f>VLOOKUP($B57,Skörd!$D$5:$M$72,7,0)</f>
        <v/>
      </c>
    </row>
    <row r="58" spans="2:37" hidden="1" x14ac:dyDescent="0.2">
      <c r="B58" s="596" t="s">
        <v>1070</v>
      </c>
      <c r="C58" s="598" t="str">
        <f>IF(ISNUMBER(VLOOKUP($B58,'F1'!$D$6:$G$73,2,0)),VLOOKUP($B58,'F1'!$D$6:$G$73,2,0),"")</f>
        <v/>
      </c>
      <c r="D58" s="599" t="str">
        <f>IF(ISNUMBER(VLOOKUP($B58,'F1'!$D$6:$G$73,3,0)),VLOOKUP($B58,'F1'!$D$6:$G$73,3,0),"")</f>
        <v/>
      </c>
      <c r="E58" s="599" t="str">
        <f>IF(ISNUMBER(VLOOKUP($B58,'F1'!$D$6:$G$73,4,0)),VLOOKUP($B58,'F1'!$D$6:$G$73,4,0),"")</f>
        <v/>
      </c>
      <c r="F58" s="598" t="str">
        <f>IF(ISNUMBER(VLOOKUP($B58,'F2'!$D$6:$G$73,2,0)),VLOOKUP($B58,'F2'!$D$6:$G$73,2,0),"")</f>
        <v/>
      </c>
      <c r="G58" s="599" t="str">
        <f>IF(ISNUMBER(VLOOKUP($B58,'F2'!$D$6:$G$73,3,0)),VLOOKUP($B58,'F2'!$D$6:$G$73,3,0),"")</f>
        <v/>
      </c>
      <c r="H58" s="599" t="str">
        <f>IF(ISNUMBER(VLOOKUP($B58,'F2'!$D$6:$G$73,4,0)),VLOOKUP($B58,'F2'!$D$6:$G$73,4,0),"")</f>
        <v/>
      </c>
      <c r="I58" s="598" t="str">
        <f>IF(ISNUMBER(VLOOKUP($B58,#REF!,2,0)),VLOOKUP($B58,#REF!,2,0),"")</f>
        <v/>
      </c>
      <c r="J58" s="599" t="str">
        <f>IF(ISNUMBER(VLOOKUP($B58,#REF!,3,0)),VLOOKUP($B58,#REF!,3,0),"")</f>
        <v/>
      </c>
      <c r="K58" s="599" t="str">
        <f>IF(ISNUMBER(VLOOKUP($B58,#REF!,4,0)),VLOOKUP($B58,#REF!,4,0),"")</f>
        <v/>
      </c>
      <c r="L58" s="598" t="str">
        <f>IF(ISNUMBER(VLOOKUP($B58,'G1'!$D$7:$M$74,2,0)),VLOOKUP($B58,'G1'!$D$7:$M$74,2,0),"")</f>
        <v/>
      </c>
      <c r="M58" s="599" t="str">
        <f>IF(ISNUMBER(VLOOKUP($B58,'G1'!$D$7:$M$74,3,0)),VLOOKUP($B58,'G1'!$D$7:$M$74,3,0),"")</f>
        <v/>
      </c>
      <c r="N58" s="599" t="str">
        <f>IF(ISNUMBER(VLOOKUP($B58,'G1'!$D$7:$M$74,4,0)),VLOOKUP($B58,'G1'!$D$7:$M$74,4,0),"")</f>
        <v/>
      </c>
      <c r="O58" s="599" t="str">
        <f>IF(ISNUMBER(VLOOKUP($B58,'G1'!$D$7:$M$74,5,0)),VLOOKUP($B58,'G1'!$D$7:$M$74,5,0),"")</f>
        <v/>
      </c>
      <c r="P58" s="599" t="str">
        <f>IF(ISNUMBER(VLOOKUP($B58,'G1'!$D$7:$M$74,6,0)),VLOOKUP($B58,'G1'!$D$7:$M$74,6,0),"")</f>
        <v/>
      </c>
      <c r="Q58" s="598" t="str">
        <f>IF(ISNUMBER(VLOOKUP($B58,'G2'!$D$7:$M$74,2,0)),VLOOKUP($B58,'G2'!$D$7:$M$74,2,0),"")</f>
        <v/>
      </c>
      <c r="R58" s="599" t="str">
        <f>IF(ISNUMBER(VLOOKUP($B58,'G2'!$D$7:$M$74,3,0)),VLOOKUP($B58,'G2'!$D$7:$M$74,3,0),"")</f>
        <v/>
      </c>
      <c r="S58" s="599" t="str">
        <f>IF(ISNUMBER(VLOOKUP($B58,'G2'!$D$7:$M$74,4,0)),VLOOKUP($B58,'G2'!$D$7:$M$74,4,0),"")</f>
        <v/>
      </c>
      <c r="T58" s="599" t="str">
        <f>IF(ISNUMBER(VLOOKUP($B58,'G2'!$D$7:$M$74,5,0)),VLOOKUP($B58,'G2'!$D$7:$M$74,5,0),"")</f>
        <v/>
      </c>
      <c r="U58" s="599" t="str">
        <f>IF(ISNUMBER(VLOOKUP($B58,'G2'!$D$7:$M$74,6,0)),VLOOKUP($B58,'G2'!$D$7:$M$74,6,0),"")</f>
        <v/>
      </c>
      <c r="V58" s="598" t="str">
        <f>IF(ISNUMBER(VLOOKUP($B58,'G3'!$D$7:$M$74,2,0)),VLOOKUP($B58,'G3'!$D$7:$M$74,2,0),"")</f>
        <v/>
      </c>
      <c r="W58" s="599" t="str">
        <f>IF(ISNUMBER(VLOOKUP($B58,'G3'!$D$7:$M$74,3,0)),VLOOKUP($B58,'G3'!$D$7:$M$74,3,0),"")</f>
        <v/>
      </c>
      <c r="X58" s="599" t="str">
        <f>IF(ISNUMBER(VLOOKUP($B58,'G3'!$D$7:$M$74,4,0)),VLOOKUP($B58,'G3'!$D$7:$M$74,4,0),"")</f>
        <v/>
      </c>
      <c r="Y58" s="599" t="str">
        <f>IF(ISNUMBER(VLOOKUP($B58,'G3'!$D$7:$M$74,5,0)),VLOOKUP($B58,'G3'!$D$7:$M$74,5,0),"")</f>
        <v/>
      </c>
      <c r="Z58" s="599" t="str">
        <f>IF(ISNUMBER(VLOOKUP($B58,'G3'!$D$7:$M$74,6,0)),VLOOKUP($B58,'G3'!$D$7:$M$74,6,0),"")</f>
        <v/>
      </c>
      <c r="AA58" s="598" t="str">
        <f>IF(ISNUMBER(VLOOKUP($B58,#REF!,2,0)),VLOOKUP($B58,#REF!,2,0),"")</f>
        <v/>
      </c>
      <c r="AB58" s="599" t="str">
        <f>IF(ISNUMBER(VLOOKUP($B58,#REF!,3,0)),VLOOKUP($B58,#REF!,3,0),"")</f>
        <v/>
      </c>
      <c r="AC58" s="599" t="str">
        <f>IF(ISNUMBER(VLOOKUP($B58,#REF!,4,0)),VLOOKUP($B58,#REF!,4,0),"")</f>
        <v/>
      </c>
      <c r="AD58" s="599" t="str">
        <f>IF(ISNUMBER(VLOOKUP($B58,#REF!,5,0)),VLOOKUP($B58,#REF!,5,0),"")</f>
        <v/>
      </c>
      <c r="AE58" s="599" t="str">
        <f>IF(ISNUMBER(VLOOKUP($B58,#REF!,6,0)),VLOOKUP($B58,#REF!,6,0),"")</f>
        <v/>
      </c>
      <c r="AF58" s="598" t="str">
        <f>IF(ISNUMBER(VLOOKUP($B58,#REF!,2,0)),VLOOKUP($B58,#REF!,2,0),"")</f>
        <v/>
      </c>
      <c r="AG58" s="599" t="str">
        <f>IF(ISNUMBER(VLOOKUP($B58,#REF!,3,0)),VLOOKUP($B58,#REF!,3,0),"")</f>
        <v/>
      </c>
      <c r="AH58" s="599" t="str">
        <f>IF(ISNUMBER(VLOOKUP($B58,#REF!,4,0)),VLOOKUP($B58,#REF!,4,0),"")</f>
        <v/>
      </c>
      <c r="AI58" s="599" t="str">
        <f>IF(ISNUMBER(VLOOKUP($B58,#REF!,5,0)),VLOOKUP($B58,#REF!,5,0),"")</f>
        <v/>
      </c>
      <c r="AJ58" s="599" t="str">
        <f>IF(ISNUMBER(VLOOKUP($B58,#REF!,6,0)),VLOOKUP($B58,#REF!,6,0),"")</f>
        <v/>
      </c>
      <c r="AK58" s="599" t="str">
        <f>VLOOKUP($B58,Skörd!$D$5:$M$72,7,0)</f>
        <v/>
      </c>
    </row>
    <row r="59" spans="2:37" hidden="1" x14ac:dyDescent="0.2">
      <c r="B59" s="596" t="s">
        <v>1071</v>
      </c>
      <c r="C59" s="598" t="str">
        <f>IF(ISNUMBER(VLOOKUP($B59,'F1'!$D$6:$G$73,2,0)),VLOOKUP($B59,'F1'!$D$6:$G$73,2,0),"")</f>
        <v/>
      </c>
      <c r="D59" s="599" t="str">
        <f>IF(ISNUMBER(VLOOKUP($B59,'F1'!$D$6:$G$73,3,0)),VLOOKUP($B59,'F1'!$D$6:$G$73,3,0),"")</f>
        <v/>
      </c>
      <c r="E59" s="599" t="str">
        <f>IF(ISNUMBER(VLOOKUP($B59,'F1'!$D$6:$G$73,4,0)),VLOOKUP($B59,'F1'!$D$6:$G$73,4,0),"")</f>
        <v/>
      </c>
      <c r="F59" s="598" t="str">
        <f>IF(ISNUMBER(VLOOKUP($B59,'F2'!$D$6:$G$73,2,0)),VLOOKUP($B59,'F2'!$D$6:$G$73,2,0),"")</f>
        <v/>
      </c>
      <c r="G59" s="599" t="str">
        <f>IF(ISNUMBER(VLOOKUP($B59,'F2'!$D$6:$G$73,3,0)),VLOOKUP($B59,'F2'!$D$6:$G$73,3,0),"")</f>
        <v/>
      </c>
      <c r="H59" s="599" t="str">
        <f>IF(ISNUMBER(VLOOKUP($B59,'F2'!$D$6:$G$73,4,0)),VLOOKUP($B59,'F2'!$D$6:$G$73,4,0),"")</f>
        <v/>
      </c>
      <c r="I59" s="598" t="str">
        <f>IF(ISNUMBER(VLOOKUP($B59,#REF!,2,0)),VLOOKUP($B59,#REF!,2,0),"")</f>
        <v/>
      </c>
      <c r="J59" s="599" t="str">
        <f>IF(ISNUMBER(VLOOKUP($B59,#REF!,3,0)),VLOOKUP($B59,#REF!,3,0),"")</f>
        <v/>
      </c>
      <c r="K59" s="599" t="str">
        <f>IF(ISNUMBER(VLOOKUP($B59,#REF!,4,0)),VLOOKUP($B59,#REF!,4,0),"")</f>
        <v/>
      </c>
      <c r="L59" s="598" t="str">
        <f>IF(ISNUMBER(VLOOKUP($B59,'G1'!$D$7:$M$74,2,0)),VLOOKUP($B59,'G1'!$D$7:$M$74,2,0),"")</f>
        <v/>
      </c>
      <c r="M59" s="599" t="str">
        <f>IF(ISNUMBER(VLOOKUP($B59,'G1'!$D$7:$M$74,3,0)),VLOOKUP($B59,'G1'!$D$7:$M$74,3,0),"")</f>
        <v/>
      </c>
      <c r="N59" s="599" t="str">
        <f>IF(ISNUMBER(VLOOKUP($B59,'G1'!$D$7:$M$74,4,0)),VLOOKUP($B59,'G1'!$D$7:$M$74,4,0),"")</f>
        <v/>
      </c>
      <c r="O59" s="599" t="str">
        <f>IF(ISNUMBER(VLOOKUP($B59,'G1'!$D$7:$M$74,5,0)),VLOOKUP($B59,'G1'!$D$7:$M$74,5,0),"")</f>
        <v/>
      </c>
      <c r="P59" s="599" t="str">
        <f>IF(ISNUMBER(VLOOKUP($B59,'G1'!$D$7:$M$74,6,0)),VLOOKUP($B59,'G1'!$D$7:$M$74,6,0),"")</f>
        <v/>
      </c>
      <c r="Q59" s="598" t="str">
        <f>IF(ISNUMBER(VLOOKUP($B59,'G2'!$D$7:$M$74,2,0)),VLOOKUP($B59,'G2'!$D$7:$M$74,2,0),"")</f>
        <v/>
      </c>
      <c r="R59" s="599" t="str">
        <f>IF(ISNUMBER(VLOOKUP($B59,'G2'!$D$7:$M$74,3,0)),VLOOKUP($B59,'G2'!$D$7:$M$74,3,0),"")</f>
        <v/>
      </c>
      <c r="S59" s="599" t="str">
        <f>IF(ISNUMBER(VLOOKUP($B59,'G2'!$D$7:$M$74,4,0)),VLOOKUP($B59,'G2'!$D$7:$M$74,4,0),"")</f>
        <v/>
      </c>
      <c r="T59" s="599" t="str">
        <f>IF(ISNUMBER(VLOOKUP($B59,'G2'!$D$7:$M$74,5,0)),VLOOKUP($B59,'G2'!$D$7:$M$74,5,0),"")</f>
        <v/>
      </c>
      <c r="U59" s="599" t="str">
        <f>IF(ISNUMBER(VLOOKUP($B59,'G2'!$D$7:$M$74,6,0)),VLOOKUP($B59,'G2'!$D$7:$M$74,6,0),"")</f>
        <v/>
      </c>
      <c r="V59" s="598" t="str">
        <f>IF(ISNUMBER(VLOOKUP($B59,'G3'!$D$7:$M$74,2,0)),VLOOKUP($B59,'G3'!$D$7:$M$74,2,0),"")</f>
        <v/>
      </c>
      <c r="W59" s="599" t="str">
        <f>IF(ISNUMBER(VLOOKUP($B59,'G3'!$D$7:$M$74,3,0)),VLOOKUP($B59,'G3'!$D$7:$M$74,3,0),"")</f>
        <v/>
      </c>
      <c r="X59" s="599" t="str">
        <f>IF(ISNUMBER(VLOOKUP($B59,'G3'!$D$7:$M$74,4,0)),VLOOKUP($B59,'G3'!$D$7:$M$74,4,0),"")</f>
        <v/>
      </c>
      <c r="Y59" s="599" t="str">
        <f>IF(ISNUMBER(VLOOKUP($B59,'G3'!$D$7:$M$74,5,0)),VLOOKUP($B59,'G3'!$D$7:$M$74,5,0),"")</f>
        <v/>
      </c>
      <c r="Z59" s="599" t="str">
        <f>IF(ISNUMBER(VLOOKUP($B59,'G3'!$D$7:$M$74,6,0)),VLOOKUP($B59,'G3'!$D$7:$M$74,6,0),"")</f>
        <v/>
      </c>
      <c r="AA59" s="598" t="str">
        <f>IF(ISNUMBER(VLOOKUP($B59,#REF!,2,0)),VLOOKUP($B59,#REF!,2,0),"")</f>
        <v/>
      </c>
      <c r="AB59" s="599" t="str">
        <f>IF(ISNUMBER(VLOOKUP($B59,#REF!,3,0)),VLOOKUP($B59,#REF!,3,0),"")</f>
        <v/>
      </c>
      <c r="AC59" s="599" t="str">
        <f>IF(ISNUMBER(VLOOKUP($B59,#REF!,4,0)),VLOOKUP($B59,#REF!,4,0),"")</f>
        <v/>
      </c>
      <c r="AD59" s="599" t="str">
        <f>IF(ISNUMBER(VLOOKUP($B59,#REF!,5,0)),VLOOKUP($B59,#REF!,5,0),"")</f>
        <v/>
      </c>
      <c r="AE59" s="599" t="str">
        <f>IF(ISNUMBER(VLOOKUP($B59,#REF!,6,0)),VLOOKUP($B59,#REF!,6,0),"")</f>
        <v/>
      </c>
      <c r="AF59" s="598" t="str">
        <f>IF(ISNUMBER(VLOOKUP($B59,#REF!,2,0)),VLOOKUP($B59,#REF!,2,0),"")</f>
        <v/>
      </c>
      <c r="AG59" s="599" t="str">
        <f>IF(ISNUMBER(VLOOKUP($B59,#REF!,3,0)),VLOOKUP($B59,#REF!,3,0),"")</f>
        <v/>
      </c>
      <c r="AH59" s="599" t="str">
        <f>IF(ISNUMBER(VLOOKUP($B59,#REF!,4,0)),VLOOKUP($B59,#REF!,4,0),"")</f>
        <v/>
      </c>
      <c r="AI59" s="599" t="str">
        <f>IF(ISNUMBER(VLOOKUP($B59,#REF!,5,0)),VLOOKUP($B59,#REF!,5,0),"")</f>
        <v/>
      </c>
      <c r="AJ59" s="599" t="str">
        <f>IF(ISNUMBER(VLOOKUP($B59,#REF!,6,0)),VLOOKUP($B59,#REF!,6,0),"")</f>
        <v/>
      </c>
      <c r="AK59" s="599" t="e">
        <f>VLOOKUP($B59,Skörd!$D$5:$M$72,7,0)</f>
        <v>#N/A</v>
      </c>
    </row>
    <row r="60" spans="2:37" hidden="1" x14ac:dyDescent="0.2">
      <c r="B60" s="596" t="s">
        <v>1072</v>
      </c>
      <c r="C60" s="598" t="str">
        <f>IF(ISNUMBER(VLOOKUP($B60,'F1'!$D$6:$G$73,2,0)),VLOOKUP($B60,'F1'!$D$6:$G$73,2,0),"")</f>
        <v/>
      </c>
      <c r="D60" s="599" t="str">
        <f>IF(ISNUMBER(VLOOKUP($B60,'F1'!$D$6:$G$73,3,0)),VLOOKUP($B60,'F1'!$D$6:$G$73,3,0),"")</f>
        <v/>
      </c>
      <c r="E60" s="599" t="str">
        <f>IF(ISNUMBER(VLOOKUP($B60,'F1'!$D$6:$G$73,4,0)),VLOOKUP($B60,'F1'!$D$6:$G$73,4,0),"")</f>
        <v/>
      </c>
      <c r="F60" s="598" t="str">
        <f>IF(ISNUMBER(VLOOKUP($B60,'F2'!$D$6:$G$73,2,0)),VLOOKUP($B60,'F2'!$D$6:$G$73,2,0),"")</f>
        <v/>
      </c>
      <c r="G60" s="599" t="str">
        <f>IF(ISNUMBER(VLOOKUP($B60,'F2'!$D$6:$G$73,3,0)),VLOOKUP($B60,'F2'!$D$6:$G$73,3,0),"")</f>
        <v/>
      </c>
      <c r="H60" s="599" t="str">
        <f>IF(ISNUMBER(VLOOKUP($B60,'F2'!$D$6:$G$73,4,0)),VLOOKUP($B60,'F2'!$D$6:$G$73,4,0),"")</f>
        <v/>
      </c>
      <c r="I60" s="598" t="str">
        <f>IF(ISNUMBER(VLOOKUP($B60,#REF!,2,0)),VLOOKUP($B60,#REF!,2,0),"")</f>
        <v/>
      </c>
      <c r="J60" s="599" t="str">
        <f>IF(ISNUMBER(VLOOKUP($B60,#REF!,3,0)),VLOOKUP($B60,#REF!,3,0),"")</f>
        <v/>
      </c>
      <c r="K60" s="599" t="str">
        <f>IF(ISNUMBER(VLOOKUP($B60,#REF!,4,0)),VLOOKUP($B60,#REF!,4,0),"")</f>
        <v/>
      </c>
      <c r="L60" s="598" t="str">
        <f>IF(ISNUMBER(VLOOKUP($B60,'G1'!$D$7:$M$74,2,0)),VLOOKUP($B60,'G1'!$D$7:$M$74,2,0),"")</f>
        <v/>
      </c>
      <c r="M60" s="599" t="str">
        <f>IF(ISNUMBER(VLOOKUP($B60,'G1'!$D$7:$M$74,3,0)),VLOOKUP($B60,'G1'!$D$7:$M$74,3,0),"")</f>
        <v/>
      </c>
      <c r="N60" s="599" t="str">
        <f>IF(ISNUMBER(VLOOKUP($B60,'G1'!$D$7:$M$74,4,0)),VLOOKUP($B60,'G1'!$D$7:$M$74,4,0),"")</f>
        <v/>
      </c>
      <c r="O60" s="599" t="str">
        <f>IF(ISNUMBER(VLOOKUP($B60,'G1'!$D$7:$M$74,5,0)),VLOOKUP($B60,'G1'!$D$7:$M$74,5,0),"")</f>
        <v/>
      </c>
      <c r="P60" s="599" t="str">
        <f>IF(ISNUMBER(VLOOKUP($B60,'G1'!$D$7:$M$74,6,0)),VLOOKUP($B60,'G1'!$D$7:$M$74,6,0),"")</f>
        <v/>
      </c>
      <c r="Q60" s="598" t="str">
        <f>IF(ISNUMBER(VLOOKUP($B60,'G2'!$D$7:$M$74,2,0)),VLOOKUP($B60,'G2'!$D$7:$M$74,2,0),"")</f>
        <v/>
      </c>
      <c r="R60" s="599" t="str">
        <f>IF(ISNUMBER(VLOOKUP($B60,'G2'!$D$7:$M$74,3,0)),VLOOKUP($B60,'G2'!$D$7:$M$74,3,0),"")</f>
        <v/>
      </c>
      <c r="S60" s="599" t="str">
        <f>IF(ISNUMBER(VLOOKUP($B60,'G2'!$D$7:$M$74,4,0)),VLOOKUP($B60,'G2'!$D$7:$M$74,4,0),"")</f>
        <v/>
      </c>
      <c r="T60" s="599" t="str">
        <f>IF(ISNUMBER(VLOOKUP($B60,'G2'!$D$7:$M$74,5,0)),VLOOKUP($B60,'G2'!$D$7:$M$74,5,0),"")</f>
        <v/>
      </c>
      <c r="U60" s="599" t="str">
        <f>IF(ISNUMBER(VLOOKUP($B60,'G2'!$D$7:$M$74,6,0)),VLOOKUP($B60,'G2'!$D$7:$M$74,6,0),"")</f>
        <v/>
      </c>
      <c r="V60" s="598" t="str">
        <f>IF(ISNUMBER(VLOOKUP($B60,'G3'!$D$7:$M$74,2,0)),VLOOKUP($B60,'G3'!$D$7:$M$74,2,0),"")</f>
        <v/>
      </c>
      <c r="W60" s="599" t="str">
        <f>IF(ISNUMBER(VLOOKUP($B60,'G3'!$D$7:$M$74,3,0)),VLOOKUP($B60,'G3'!$D$7:$M$74,3,0),"")</f>
        <v/>
      </c>
      <c r="X60" s="599" t="str">
        <f>IF(ISNUMBER(VLOOKUP($B60,'G3'!$D$7:$M$74,4,0)),VLOOKUP($B60,'G3'!$D$7:$M$74,4,0),"")</f>
        <v/>
      </c>
      <c r="Y60" s="599" t="str">
        <f>IF(ISNUMBER(VLOOKUP($B60,'G3'!$D$7:$M$74,5,0)),VLOOKUP($B60,'G3'!$D$7:$M$74,5,0),"")</f>
        <v/>
      </c>
      <c r="Z60" s="599" t="str">
        <f>IF(ISNUMBER(VLOOKUP($B60,'G3'!$D$7:$M$74,6,0)),VLOOKUP($B60,'G3'!$D$7:$M$74,6,0),"")</f>
        <v/>
      </c>
      <c r="AA60" s="598" t="str">
        <f>IF(ISNUMBER(VLOOKUP($B60,#REF!,2,0)),VLOOKUP($B60,#REF!,2,0),"")</f>
        <v/>
      </c>
      <c r="AB60" s="599" t="str">
        <f>IF(ISNUMBER(VLOOKUP($B60,#REF!,3,0)),VLOOKUP($B60,#REF!,3,0),"")</f>
        <v/>
      </c>
      <c r="AC60" s="599" t="str">
        <f>IF(ISNUMBER(VLOOKUP($B60,#REF!,4,0)),VLOOKUP($B60,#REF!,4,0),"")</f>
        <v/>
      </c>
      <c r="AD60" s="599" t="str">
        <f>IF(ISNUMBER(VLOOKUP($B60,#REF!,5,0)),VLOOKUP($B60,#REF!,5,0),"")</f>
        <v/>
      </c>
      <c r="AE60" s="599" t="str">
        <f>IF(ISNUMBER(VLOOKUP($B60,#REF!,6,0)),VLOOKUP($B60,#REF!,6,0),"")</f>
        <v/>
      </c>
      <c r="AF60" s="598" t="str">
        <f>IF(ISNUMBER(VLOOKUP($B60,#REF!,2,0)),VLOOKUP($B60,#REF!,2,0),"")</f>
        <v/>
      </c>
      <c r="AG60" s="599" t="str">
        <f>IF(ISNUMBER(VLOOKUP($B60,#REF!,3,0)),VLOOKUP($B60,#REF!,3,0),"")</f>
        <v/>
      </c>
      <c r="AH60" s="599" t="str">
        <f>IF(ISNUMBER(VLOOKUP($B60,#REF!,4,0)),VLOOKUP($B60,#REF!,4,0),"")</f>
        <v/>
      </c>
      <c r="AI60" s="599" t="str">
        <f>IF(ISNUMBER(VLOOKUP($B60,#REF!,5,0)),VLOOKUP($B60,#REF!,5,0),"")</f>
        <v/>
      </c>
      <c r="AJ60" s="599" t="str">
        <f>IF(ISNUMBER(VLOOKUP($B60,#REF!,6,0)),VLOOKUP($B60,#REF!,6,0),"")</f>
        <v/>
      </c>
      <c r="AK60" s="599" t="e">
        <f>VLOOKUP($B60,Skörd!$D$5:$M$72,7,0)</f>
        <v>#N/A</v>
      </c>
    </row>
    <row r="61" spans="2:37" hidden="1" x14ac:dyDescent="0.2">
      <c r="B61" s="596" t="s">
        <v>1073</v>
      </c>
      <c r="C61" s="598" t="str">
        <f>IF(ISNUMBER(VLOOKUP($B61,'F1'!$D$6:$G$73,2,0)),VLOOKUP($B61,'F1'!$D$6:$G$73,2,0),"")</f>
        <v/>
      </c>
      <c r="D61" s="599" t="str">
        <f>IF(ISNUMBER(VLOOKUP($B61,'F1'!$D$6:$G$73,3,0)),VLOOKUP($B61,'F1'!$D$6:$G$73,3,0),"")</f>
        <v/>
      </c>
      <c r="E61" s="599" t="str">
        <f>IF(ISNUMBER(VLOOKUP($B61,'F1'!$D$6:$G$73,4,0)),VLOOKUP($B61,'F1'!$D$6:$G$73,4,0),"")</f>
        <v/>
      </c>
      <c r="F61" s="598" t="str">
        <f>IF(ISNUMBER(VLOOKUP($B61,'F2'!$D$6:$G$73,2,0)),VLOOKUP($B61,'F2'!$D$6:$G$73,2,0),"")</f>
        <v/>
      </c>
      <c r="G61" s="599" t="str">
        <f>IF(ISNUMBER(VLOOKUP($B61,'F2'!$D$6:$G$73,3,0)),VLOOKUP($B61,'F2'!$D$6:$G$73,3,0),"")</f>
        <v/>
      </c>
      <c r="H61" s="599" t="str">
        <f>IF(ISNUMBER(VLOOKUP($B61,'F2'!$D$6:$G$73,4,0)),VLOOKUP($B61,'F2'!$D$6:$G$73,4,0),"")</f>
        <v/>
      </c>
      <c r="I61" s="598" t="str">
        <f>IF(ISNUMBER(VLOOKUP($B61,#REF!,2,0)),VLOOKUP($B61,#REF!,2,0),"")</f>
        <v/>
      </c>
      <c r="J61" s="599" t="str">
        <f>IF(ISNUMBER(VLOOKUP($B61,#REF!,3,0)),VLOOKUP($B61,#REF!,3,0),"")</f>
        <v/>
      </c>
      <c r="K61" s="599" t="str">
        <f>IF(ISNUMBER(VLOOKUP($B61,#REF!,4,0)),VLOOKUP($B61,#REF!,4,0),"")</f>
        <v/>
      </c>
      <c r="L61" s="598" t="str">
        <f>IF(ISNUMBER(VLOOKUP($B61,'G1'!$D$7:$M$74,2,0)),VLOOKUP($B61,'G1'!$D$7:$M$74,2,0),"")</f>
        <v/>
      </c>
      <c r="M61" s="599" t="str">
        <f>IF(ISNUMBER(VLOOKUP($B61,'G1'!$D$7:$M$74,3,0)),VLOOKUP($B61,'G1'!$D$7:$M$74,3,0),"")</f>
        <v/>
      </c>
      <c r="N61" s="599" t="str">
        <f>IF(ISNUMBER(VLOOKUP($B61,'G1'!$D$7:$M$74,4,0)),VLOOKUP($B61,'G1'!$D$7:$M$74,4,0),"")</f>
        <v/>
      </c>
      <c r="O61" s="599" t="str">
        <f>IF(ISNUMBER(VLOOKUP($B61,'G1'!$D$7:$M$74,5,0)),VLOOKUP($B61,'G1'!$D$7:$M$74,5,0),"")</f>
        <v/>
      </c>
      <c r="P61" s="599" t="str">
        <f>IF(ISNUMBER(VLOOKUP($B61,'G1'!$D$7:$M$74,6,0)),VLOOKUP($B61,'G1'!$D$7:$M$74,6,0),"")</f>
        <v/>
      </c>
      <c r="Q61" s="598" t="str">
        <f>IF(ISNUMBER(VLOOKUP($B61,'G2'!$D$7:$M$74,2,0)),VLOOKUP($B61,'G2'!$D$7:$M$74,2,0),"")</f>
        <v/>
      </c>
      <c r="R61" s="599" t="str">
        <f>IF(ISNUMBER(VLOOKUP($B61,'G2'!$D$7:$M$74,3,0)),VLOOKUP($B61,'G2'!$D$7:$M$74,3,0),"")</f>
        <v/>
      </c>
      <c r="S61" s="599" t="str">
        <f>IF(ISNUMBER(VLOOKUP($B61,'G2'!$D$7:$M$74,4,0)),VLOOKUP($B61,'G2'!$D$7:$M$74,4,0),"")</f>
        <v/>
      </c>
      <c r="T61" s="599" t="str">
        <f>IF(ISNUMBER(VLOOKUP($B61,'G2'!$D$7:$M$74,5,0)),VLOOKUP($B61,'G2'!$D$7:$M$74,5,0),"")</f>
        <v/>
      </c>
      <c r="U61" s="599" t="str">
        <f>IF(ISNUMBER(VLOOKUP($B61,'G2'!$D$7:$M$74,6,0)),VLOOKUP($B61,'G2'!$D$7:$M$74,6,0),"")</f>
        <v/>
      </c>
      <c r="V61" s="598" t="str">
        <f>IF(ISNUMBER(VLOOKUP($B61,'G3'!$D$7:$M$74,2,0)),VLOOKUP($B61,'G3'!$D$7:$M$74,2,0),"")</f>
        <v/>
      </c>
      <c r="W61" s="599" t="str">
        <f>IF(ISNUMBER(VLOOKUP($B61,'G3'!$D$7:$M$74,3,0)),VLOOKUP($B61,'G3'!$D$7:$M$74,3,0),"")</f>
        <v/>
      </c>
      <c r="X61" s="599" t="str">
        <f>IF(ISNUMBER(VLOOKUP($B61,'G3'!$D$7:$M$74,4,0)),VLOOKUP($B61,'G3'!$D$7:$M$74,4,0),"")</f>
        <v/>
      </c>
      <c r="Y61" s="599" t="str">
        <f>IF(ISNUMBER(VLOOKUP($B61,'G3'!$D$7:$M$74,5,0)),VLOOKUP($B61,'G3'!$D$7:$M$74,5,0),"")</f>
        <v/>
      </c>
      <c r="Z61" s="599" t="str">
        <f>IF(ISNUMBER(VLOOKUP($B61,'G3'!$D$7:$M$74,6,0)),VLOOKUP($B61,'G3'!$D$7:$M$74,6,0),"")</f>
        <v/>
      </c>
      <c r="AA61" s="598" t="str">
        <f>IF(ISNUMBER(VLOOKUP($B61,#REF!,2,0)),VLOOKUP($B61,#REF!,2,0),"")</f>
        <v/>
      </c>
      <c r="AB61" s="599" t="str">
        <f>IF(ISNUMBER(VLOOKUP($B61,#REF!,3,0)),VLOOKUP($B61,#REF!,3,0),"")</f>
        <v/>
      </c>
      <c r="AC61" s="599" t="str">
        <f>IF(ISNUMBER(VLOOKUP($B61,#REF!,4,0)),VLOOKUP($B61,#REF!,4,0),"")</f>
        <v/>
      </c>
      <c r="AD61" s="599" t="str">
        <f>IF(ISNUMBER(VLOOKUP($B61,#REF!,5,0)),VLOOKUP($B61,#REF!,5,0),"")</f>
        <v/>
      </c>
      <c r="AE61" s="599" t="str">
        <f>IF(ISNUMBER(VLOOKUP($B61,#REF!,6,0)),VLOOKUP($B61,#REF!,6,0),"")</f>
        <v/>
      </c>
      <c r="AF61" s="598" t="str">
        <f>IF(ISNUMBER(VLOOKUP($B61,#REF!,2,0)),VLOOKUP($B61,#REF!,2,0),"")</f>
        <v/>
      </c>
      <c r="AG61" s="599" t="str">
        <f>IF(ISNUMBER(VLOOKUP($B61,#REF!,3,0)),VLOOKUP($B61,#REF!,3,0),"")</f>
        <v/>
      </c>
      <c r="AH61" s="599" t="str">
        <f>IF(ISNUMBER(VLOOKUP($B61,#REF!,4,0)),VLOOKUP($B61,#REF!,4,0),"")</f>
        <v/>
      </c>
      <c r="AI61" s="599" t="str">
        <f>IF(ISNUMBER(VLOOKUP($B61,#REF!,5,0)),VLOOKUP($B61,#REF!,5,0),"")</f>
        <v/>
      </c>
      <c r="AJ61" s="599" t="str">
        <f>IF(ISNUMBER(VLOOKUP($B61,#REF!,6,0)),VLOOKUP($B61,#REF!,6,0),"")</f>
        <v/>
      </c>
      <c r="AK61" s="599" t="e">
        <f>VLOOKUP($B61,Skörd!$D$5:$M$72,7,0)</f>
        <v>#N/A</v>
      </c>
    </row>
    <row r="62" spans="2:37" hidden="1" x14ac:dyDescent="0.2">
      <c r="B62" s="596" t="s">
        <v>1074</v>
      </c>
      <c r="C62" s="598" t="str">
        <f>IF(ISNUMBER(VLOOKUP($B62,'F1'!$D$6:$G$73,2,0)),VLOOKUP($B62,'F1'!$D$6:$G$73,2,0),"")</f>
        <v/>
      </c>
      <c r="D62" s="599" t="str">
        <f>IF(ISNUMBER(VLOOKUP($B62,'F1'!$D$6:$G$73,3,0)),VLOOKUP($B62,'F1'!$D$6:$G$73,3,0),"")</f>
        <v/>
      </c>
      <c r="E62" s="599" t="str">
        <f>IF(ISNUMBER(VLOOKUP($B62,'F1'!$D$6:$G$73,4,0)),VLOOKUP($B62,'F1'!$D$6:$G$73,4,0),"")</f>
        <v/>
      </c>
      <c r="F62" s="598" t="str">
        <f>IF(ISNUMBER(VLOOKUP($B62,'F2'!$D$6:$G$73,2,0)),VLOOKUP($B62,'F2'!$D$6:$G$73,2,0),"")</f>
        <v/>
      </c>
      <c r="G62" s="599" t="str">
        <f>IF(ISNUMBER(VLOOKUP($B62,'F2'!$D$6:$G$73,3,0)),VLOOKUP($B62,'F2'!$D$6:$G$73,3,0),"")</f>
        <v/>
      </c>
      <c r="H62" s="599" t="str">
        <f>IF(ISNUMBER(VLOOKUP($B62,'F2'!$D$6:$G$73,4,0)),VLOOKUP($B62,'F2'!$D$6:$G$73,4,0),"")</f>
        <v/>
      </c>
      <c r="I62" s="598" t="str">
        <f>IF(ISNUMBER(VLOOKUP($B62,#REF!,2,0)),VLOOKUP($B62,#REF!,2,0),"")</f>
        <v/>
      </c>
      <c r="J62" s="599" t="str">
        <f>IF(ISNUMBER(VLOOKUP($B62,#REF!,3,0)),VLOOKUP($B62,#REF!,3,0),"")</f>
        <v/>
      </c>
      <c r="K62" s="599" t="str">
        <f>IF(ISNUMBER(VLOOKUP($B62,#REF!,4,0)),VLOOKUP($B62,#REF!,4,0),"")</f>
        <v/>
      </c>
      <c r="L62" s="598" t="str">
        <f>IF(ISNUMBER(VLOOKUP($B62,'G1'!$D$7:$M$74,2,0)),VLOOKUP($B62,'G1'!$D$7:$M$74,2,0),"")</f>
        <v/>
      </c>
      <c r="M62" s="599" t="str">
        <f>IF(ISNUMBER(VLOOKUP($B62,'G1'!$D$7:$M$74,3,0)),VLOOKUP($B62,'G1'!$D$7:$M$74,3,0),"")</f>
        <v/>
      </c>
      <c r="N62" s="599" t="str">
        <f>IF(ISNUMBER(VLOOKUP($B62,'G1'!$D$7:$M$74,4,0)),VLOOKUP($B62,'G1'!$D$7:$M$74,4,0),"")</f>
        <v/>
      </c>
      <c r="O62" s="599" t="str">
        <f>IF(ISNUMBER(VLOOKUP($B62,'G1'!$D$7:$M$74,5,0)),VLOOKUP($B62,'G1'!$D$7:$M$74,5,0),"")</f>
        <v/>
      </c>
      <c r="P62" s="599" t="str">
        <f>IF(ISNUMBER(VLOOKUP($B62,'G1'!$D$7:$M$74,6,0)),VLOOKUP($B62,'G1'!$D$7:$M$74,6,0),"")</f>
        <v/>
      </c>
      <c r="Q62" s="598" t="str">
        <f>IF(ISNUMBER(VLOOKUP($B62,'G2'!$D$7:$M$74,2,0)),VLOOKUP($B62,'G2'!$D$7:$M$74,2,0),"")</f>
        <v/>
      </c>
      <c r="R62" s="599" t="str">
        <f>IF(ISNUMBER(VLOOKUP($B62,'G2'!$D$7:$M$74,3,0)),VLOOKUP($B62,'G2'!$D$7:$M$74,3,0),"")</f>
        <v/>
      </c>
      <c r="S62" s="599" t="str">
        <f>IF(ISNUMBER(VLOOKUP($B62,'G2'!$D$7:$M$74,4,0)),VLOOKUP($B62,'G2'!$D$7:$M$74,4,0),"")</f>
        <v/>
      </c>
      <c r="T62" s="599" t="str">
        <f>IF(ISNUMBER(VLOOKUP($B62,'G2'!$D$7:$M$74,5,0)),VLOOKUP($B62,'G2'!$D$7:$M$74,5,0),"")</f>
        <v/>
      </c>
      <c r="U62" s="599" t="str">
        <f>IF(ISNUMBER(VLOOKUP($B62,'G2'!$D$7:$M$74,6,0)),VLOOKUP($B62,'G2'!$D$7:$M$74,6,0),"")</f>
        <v/>
      </c>
      <c r="V62" s="598" t="str">
        <f>IF(ISNUMBER(VLOOKUP($B62,'G3'!$D$7:$M$74,2,0)),VLOOKUP($B62,'G3'!$D$7:$M$74,2,0),"")</f>
        <v/>
      </c>
      <c r="W62" s="599" t="str">
        <f>IF(ISNUMBER(VLOOKUP($B62,'G3'!$D$7:$M$74,3,0)),VLOOKUP($B62,'G3'!$D$7:$M$74,3,0),"")</f>
        <v/>
      </c>
      <c r="X62" s="599" t="str">
        <f>IF(ISNUMBER(VLOOKUP($B62,'G3'!$D$7:$M$74,4,0)),VLOOKUP($B62,'G3'!$D$7:$M$74,4,0),"")</f>
        <v/>
      </c>
      <c r="Y62" s="599" t="str">
        <f>IF(ISNUMBER(VLOOKUP($B62,'G3'!$D$7:$M$74,5,0)),VLOOKUP($B62,'G3'!$D$7:$M$74,5,0),"")</f>
        <v/>
      </c>
      <c r="Z62" s="599" t="str">
        <f>IF(ISNUMBER(VLOOKUP($B62,'G3'!$D$7:$M$74,6,0)),VLOOKUP($B62,'G3'!$D$7:$M$74,6,0),"")</f>
        <v/>
      </c>
      <c r="AA62" s="598" t="str">
        <f>IF(ISNUMBER(VLOOKUP($B62,#REF!,2,0)),VLOOKUP($B62,#REF!,2,0),"")</f>
        <v/>
      </c>
      <c r="AB62" s="599" t="str">
        <f>IF(ISNUMBER(VLOOKUP($B62,#REF!,3,0)),VLOOKUP($B62,#REF!,3,0),"")</f>
        <v/>
      </c>
      <c r="AC62" s="599" t="str">
        <f>IF(ISNUMBER(VLOOKUP($B62,#REF!,4,0)),VLOOKUP($B62,#REF!,4,0),"")</f>
        <v/>
      </c>
      <c r="AD62" s="599" t="str">
        <f>IF(ISNUMBER(VLOOKUP($B62,#REF!,5,0)),VLOOKUP($B62,#REF!,5,0),"")</f>
        <v/>
      </c>
      <c r="AE62" s="599" t="str">
        <f>IF(ISNUMBER(VLOOKUP($B62,#REF!,6,0)),VLOOKUP($B62,#REF!,6,0),"")</f>
        <v/>
      </c>
      <c r="AF62" s="598" t="str">
        <f>IF(ISNUMBER(VLOOKUP($B62,#REF!,2,0)),VLOOKUP($B62,#REF!,2,0),"")</f>
        <v/>
      </c>
      <c r="AG62" s="599" t="str">
        <f>IF(ISNUMBER(VLOOKUP($B62,#REF!,3,0)),VLOOKUP($B62,#REF!,3,0),"")</f>
        <v/>
      </c>
      <c r="AH62" s="599" t="str">
        <f>IF(ISNUMBER(VLOOKUP($B62,#REF!,4,0)),VLOOKUP($B62,#REF!,4,0),"")</f>
        <v/>
      </c>
      <c r="AI62" s="599" t="str">
        <f>IF(ISNUMBER(VLOOKUP($B62,#REF!,5,0)),VLOOKUP($B62,#REF!,5,0),"")</f>
        <v/>
      </c>
      <c r="AJ62" s="599" t="str">
        <f>IF(ISNUMBER(VLOOKUP($B62,#REF!,6,0)),VLOOKUP($B62,#REF!,6,0),"")</f>
        <v/>
      </c>
      <c r="AK62" s="599" t="e">
        <f>VLOOKUP($B62,Skörd!$D$5:$M$72,7,0)</f>
        <v>#N/A</v>
      </c>
    </row>
    <row r="63" spans="2:37" hidden="1" x14ac:dyDescent="0.2">
      <c r="B63" s="596" t="s">
        <v>1075</v>
      </c>
      <c r="C63" s="598" t="str">
        <f>IF(ISNUMBER(VLOOKUP($B63,'F1'!$D$6:$G$73,2,0)),VLOOKUP($B63,'F1'!$D$6:$G$73,2,0),"")</f>
        <v/>
      </c>
      <c r="D63" s="599" t="str">
        <f>IF(ISNUMBER(VLOOKUP($B63,'F1'!$D$6:$G$73,3,0)),VLOOKUP($B63,'F1'!$D$6:$G$73,3,0),"")</f>
        <v/>
      </c>
      <c r="E63" s="599" t="str">
        <f>IF(ISNUMBER(VLOOKUP($B63,'F1'!$D$6:$G$73,4,0)),VLOOKUP($B63,'F1'!$D$6:$G$73,4,0),"")</f>
        <v/>
      </c>
      <c r="F63" s="598" t="str">
        <f>IF(ISNUMBER(VLOOKUP($B63,'F2'!$D$6:$G$73,2,0)),VLOOKUP($B63,'F2'!$D$6:$G$73,2,0),"")</f>
        <v/>
      </c>
      <c r="G63" s="599" t="str">
        <f>IF(ISNUMBER(VLOOKUP($B63,'F2'!$D$6:$G$73,3,0)),VLOOKUP($B63,'F2'!$D$6:$G$73,3,0),"")</f>
        <v/>
      </c>
      <c r="H63" s="599" t="str">
        <f>IF(ISNUMBER(VLOOKUP($B63,'F2'!$D$6:$G$73,4,0)),VLOOKUP($B63,'F2'!$D$6:$G$73,4,0),"")</f>
        <v/>
      </c>
      <c r="I63" s="598" t="str">
        <f>IF(ISNUMBER(VLOOKUP($B63,#REF!,2,0)),VLOOKUP($B63,#REF!,2,0),"")</f>
        <v/>
      </c>
      <c r="J63" s="599" t="str">
        <f>IF(ISNUMBER(VLOOKUP($B63,#REF!,3,0)),VLOOKUP($B63,#REF!,3,0),"")</f>
        <v/>
      </c>
      <c r="K63" s="599" t="str">
        <f>IF(ISNUMBER(VLOOKUP($B63,#REF!,4,0)),VLOOKUP($B63,#REF!,4,0),"")</f>
        <v/>
      </c>
      <c r="L63" s="598" t="str">
        <f>IF(ISNUMBER(VLOOKUP($B63,'G1'!$D$7:$M$74,2,0)),VLOOKUP($B63,'G1'!$D$7:$M$74,2,0),"")</f>
        <v/>
      </c>
      <c r="M63" s="599" t="str">
        <f>IF(ISNUMBER(VLOOKUP($B63,'G1'!$D$7:$M$74,3,0)),VLOOKUP($B63,'G1'!$D$7:$M$74,3,0),"")</f>
        <v/>
      </c>
      <c r="N63" s="599" t="str">
        <f>IF(ISNUMBER(VLOOKUP($B63,'G1'!$D$7:$M$74,4,0)),VLOOKUP($B63,'G1'!$D$7:$M$74,4,0),"")</f>
        <v/>
      </c>
      <c r="O63" s="599" t="str">
        <f>IF(ISNUMBER(VLOOKUP($B63,'G1'!$D$7:$M$74,5,0)),VLOOKUP($B63,'G1'!$D$7:$M$74,5,0),"")</f>
        <v/>
      </c>
      <c r="P63" s="599" t="str">
        <f>IF(ISNUMBER(VLOOKUP($B63,'G1'!$D$7:$M$74,6,0)),VLOOKUP($B63,'G1'!$D$7:$M$74,6,0),"")</f>
        <v/>
      </c>
      <c r="Q63" s="598" t="str">
        <f>IF(ISNUMBER(VLOOKUP($B63,'G2'!$D$7:$M$74,2,0)),VLOOKUP($B63,'G2'!$D$7:$M$74,2,0),"")</f>
        <v/>
      </c>
      <c r="R63" s="599" t="str">
        <f>IF(ISNUMBER(VLOOKUP($B63,'G2'!$D$7:$M$74,3,0)),VLOOKUP($B63,'G2'!$D$7:$M$74,3,0),"")</f>
        <v/>
      </c>
      <c r="S63" s="599" t="str">
        <f>IF(ISNUMBER(VLOOKUP($B63,'G2'!$D$7:$M$74,4,0)),VLOOKUP($B63,'G2'!$D$7:$M$74,4,0),"")</f>
        <v/>
      </c>
      <c r="T63" s="599" t="str">
        <f>IF(ISNUMBER(VLOOKUP($B63,'G2'!$D$7:$M$74,5,0)),VLOOKUP($B63,'G2'!$D$7:$M$74,5,0),"")</f>
        <v/>
      </c>
      <c r="U63" s="599" t="str">
        <f>IF(ISNUMBER(VLOOKUP($B63,'G2'!$D$7:$M$74,6,0)),VLOOKUP($B63,'G2'!$D$7:$M$74,6,0),"")</f>
        <v/>
      </c>
      <c r="V63" s="598" t="str">
        <f>IF(ISNUMBER(VLOOKUP($B63,'G3'!$D$7:$M$74,2,0)),VLOOKUP($B63,'G3'!$D$7:$M$74,2,0),"")</f>
        <v/>
      </c>
      <c r="W63" s="599" t="str">
        <f>IF(ISNUMBER(VLOOKUP($B63,'G3'!$D$7:$M$74,3,0)),VLOOKUP($B63,'G3'!$D$7:$M$74,3,0),"")</f>
        <v/>
      </c>
      <c r="X63" s="599" t="str">
        <f>IF(ISNUMBER(VLOOKUP($B63,'G3'!$D$7:$M$74,4,0)),VLOOKUP($B63,'G3'!$D$7:$M$74,4,0),"")</f>
        <v/>
      </c>
      <c r="Y63" s="599" t="str">
        <f>IF(ISNUMBER(VLOOKUP($B63,'G3'!$D$7:$M$74,5,0)),VLOOKUP($B63,'G3'!$D$7:$M$74,5,0),"")</f>
        <v/>
      </c>
      <c r="Z63" s="599" t="str">
        <f>IF(ISNUMBER(VLOOKUP($B63,'G3'!$D$7:$M$74,6,0)),VLOOKUP($B63,'G3'!$D$7:$M$74,6,0),"")</f>
        <v/>
      </c>
      <c r="AA63" s="598" t="str">
        <f>IF(ISNUMBER(VLOOKUP($B63,#REF!,2,0)),VLOOKUP($B63,#REF!,2,0),"")</f>
        <v/>
      </c>
      <c r="AB63" s="599" t="str">
        <f>IF(ISNUMBER(VLOOKUP($B63,#REF!,3,0)),VLOOKUP($B63,#REF!,3,0),"")</f>
        <v/>
      </c>
      <c r="AC63" s="599" t="str">
        <f>IF(ISNUMBER(VLOOKUP($B63,#REF!,4,0)),VLOOKUP($B63,#REF!,4,0),"")</f>
        <v/>
      </c>
      <c r="AD63" s="599" t="str">
        <f>IF(ISNUMBER(VLOOKUP($B63,#REF!,5,0)),VLOOKUP($B63,#REF!,5,0),"")</f>
        <v/>
      </c>
      <c r="AE63" s="599" t="str">
        <f>IF(ISNUMBER(VLOOKUP($B63,#REF!,6,0)),VLOOKUP($B63,#REF!,6,0),"")</f>
        <v/>
      </c>
      <c r="AF63" s="598" t="str">
        <f>IF(ISNUMBER(VLOOKUP($B63,#REF!,2,0)),VLOOKUP($B63,#REF!,2,0),"")</f>
        <v/>
      </c>
      <c r="AG63" s="599" t="str">
        <f>IF(ISNUMBER(VLOOKUP($B63,#REF!,3,0)),VLOOKUP($B63,#REF!,3,0),"")</f>
        <v/>
      </c>
      <c r="AH63" s="599" t="str">
        <f>IF(ISNUMBER(VLOOKUP($B63,#REF!,4,0)),VLOOKUP($B63,#REF!,4,0),"")</f>
        <v/>
      </c>
      <c r="AI63" s="599" t="str">
        <f>IF(ISNUMBER(VLOOKUP($B63,#REF!,5,0)),VLOOKUP($B63,#REF!,5,0),"")</f>
        <v/>
      </c>
      <c r="AJ63" s="599" t="str">
        <f>IF(ISNUMBER(VLOOKUP($B63,#REF!,6,0)),VLOOKUP($B63,#REF!,6,0),"")</f>
        <v/>
      </c>
      <c r="AK63" s="599" t="e">
        <f>VLOOKUP($B63,Skörd!$D$5:$M$72,7,0)</f>
        <v>#N/A</v>
      </c>
    </row>
    <row r="64" spans="2:37" hidden="1" x14ac:dyDescent="0.2">
      <c r="B64" s="596" t="s">
        <v>1076</v>
      </c>
      <c r="C64" s="598" t="str">
        <f>IF(ISNUMBER(VLOOKUP($B64,'F1'!$D$6:$G$73,2,0)),VLOOKUP($B64,'F1'!$D$6:$G$73,2,0),"")</f>
        <v/>
      </c>
      <c r="D64" s="599" t="str">
        <f>IF(ISNUMBER(VLOOKUP($B64,'F1'!$D$6:$G$73,3,0)),VLOOKUP($B64,'F1'!$D$6:$G$73,3,0),"")</f>
        <v/>
      </c>
      <c r="E64" s="599" t="str">
        <f>IF(ISNUMBER(VLOOKUP($B64,'F1'!$D$6:$G$73,4,0)),VLOOKUP($B64,'F1'!$D$6:$G$73,4,0),"")</f>
        <v/>
      </c>
      <c r="F64" s="598" t="str">
        <f>IF(ISNUMBER(VLOOKUP($B64,'F2'!$D$6:$G$73,2,0)),VLOOKUP($B64,'F2'!$D$6:$G$73,2,0),"")</f>
        <v/>
      </c>
      <c r="G64" s="599" t="str">
        <f>IF(ISNUMBER(VLOOKUP($B64,'F2'!$D$6:$G$73,3,0)),VLOOKUP($B64,'F2'!$D$6:$G$73,3,0),"")</f>
        <v/>
      </c>
      <c r="H64" s="599" t="str">
        <f>IF(ISNUMBER(VLOOKUP($B64,'F2'!$D$6:$G$73,4,0)),VLOOKUP($B64,'F2'!$D$6:$G$73,4,0),"")</f>
        <v/>
      </c>
      <c r="I64" s="598" t="str">
        <f>IF(ISNUMBER(VLOOKUP($B64,#REF!,2,0)),VLOOKUP($B64,#REF!,2,0),"")</f>
        <v/>
      </c>
      <c r="J64" s="599" t="str">
        <f>IF(ISNUMBER(VLOOKUP($B64,#REF!,3,0)),VLOOKUP($B64,#REF!,3,0),"")</f>
        <v/>
      </c>
      <c r="K64" s="599" t="str">
        <f>IF(ISNUMBER(VLOOKUP($B64,#REF!,4,0)),VLOOKUP($B64,#REF!,4,0),"")</f>
        <v/>
      </c>
      <c r="L64" s="598" t="str">
        <f>IF(ISNUMBER(VLOOKUP($B64,'G1'!$D$7:$M$74,2,0)),VLOOKUP($B64,'G1'!$D$7:$M$74,2,0),"")</f>
        <v/>
      </c>
      <c r="M64" s="599" t="str">
        <f>IF(ISNUMBER(VLOOKUP($B64,'G1'!$D$7:$M$74,3,0)),VLOOKUP($B64,'G1'!$D$7:$M$74,3,0),"")</f>
        <v/>
      </c>
      <c r="N64" s="599" t="str">
        <f>IF(ISNUMBER(VLOOKUP($B64,'G1'!$D$7:$M$74,4,0)),VLOOKUP($B64,'G1'!$D$7:$M$74,4,0),"")</f>
        <v/>
      </c>
      <c r="O64" s="599" t="str">
        <f>IF(ISNUMBER(VLOOKUP($B64,'G1'!$D$7:$M$74,5,0)),VLOOKUP($B64,'G1'!$D$7:$M$74,5,0),"")</f>
        <v/>
      </c>
      <c r="P64" s="599" t="str">
        <f>IF(ISNUMBER(VLOOKUP($B64,'G1'!$D$7:$M$74,6,0)),VLOOKUP($B64,'G1'!$D$7:$M$74,6,0),"")</f>
        <v/>
      </c>
      <c r="Q64" s="598" t="str">
        <f>IF(ISNUMBER(VLOOKUP($B64,'G2'!$D$7:$M$74,2,0)),VLOOKUP($B64,'G2'!$D$7:$M$74,2,0),"")</f>
        <v/>
      </c>
      <c r="R64" s="599" t="str">
        <f>IF(ISNUMBER(VLOOKUP($B64,'G2'!$D$7:$M$74,3,0)),VLOOKUP($B64,'G2'!$D$7:$M$74,3,0),"")</f>
        <v/>
      </c>
      <c r="S64" s="599" t="str">
        <f>IF(ISNUMBER(VLOOKUP($B64,'G2'!$D$7:$M$74,4,0)),VLOOKUP($B64,'G2'!$D$7:$M$74,4,0),"")</f>
        <v/>
      </c>
      <c r="T64" s="599" t="str">
        <f>IF(ISNUMBER(VLOOKUP($B64,'G2'!$D$7:$M$74,5,0)),VLOOKUP($B64,'G2'!$D$7:$M$74,5,0),"")</f>
        <v/>
      </c>
      <c r="U64" s="599" t="str">
        <f>IF(ISNUMBER(VLOOKUP($B64,'G2'!$D$7:$M$74,6,0)),VLOOKUP($B64,'G2'!$D$7:$M$74,6,0),"")</f>
        <v/>
      </c>
      <c r="V64" s="598" t="str">
        <f>IF(ISNUMBER(VLOOKUP($B64,'G3'!$D$7:$M$74,2,0)),VLOOKUP($B64,'G3'!$D$7:$M$74,2,0),"")</f>
        <v/>
      </c>
      <c r="W64" s="599" t="str">
        <f>IF(ISNUMBER(VLOOKUP($B64,'G3'!$D$7:$M$74,3,0)),VLOOKUP($B64,'G3'!$D$7:$M$74,3,0),"")</f>
        <v/>
      </c>
      <c r="X64" s="599" t="str">
        <f>IF(ISNUMBER(VLOOKUP($B64,'G3'!$D$7:$M$74,4,0)),VLOOKUP($B64,'G3'!$D$7:$M$74,4,0),"")</f>
        <v/>
      </c>
      <c r="Y64" s="599" t="str">
        <f>IF(ISNUMBER(VLOOKUP($B64,'G3'!$D$7:$M$74,5,0)),VLOOKUP($B64,'G3'!$D$7:$M$74,5,0),"")</f>
        <v/>
      </c>
      <c r="Z64" s="599" t="str">
        <f>IF(ISNUMBER(VLOOKUP($B64,'G3'!$D$7:$M$74,6,0)),VLOOKUP($B64,'G3'!$D$7:$M$74,6,0),"")</f>
        <v/>
      </c>
      <c r="AA64" s="598" t="str">
        <f>IF(ISNUMBER(VLOOKUP($B64,#REF!,2,0)),VLOOKUP($B64,#REF!,2,0),"")</f>
        <v/>
      </c>
      <c r="AB64" s="599" t="str">
        <f>IF(ISNUMBER(VLOOKUP($B64,#REF!,3,0)),VLOOKUP($B64,#REF!,3,0),"")</f>
        <v/>
      </c>
      <c r="AC64" s="599" t="str">
        <f>IF(ISNUMBER(VLOOKUP($B64,#REF!,4,0)),VLOOKUP($B64,#REF!,4,0),"")</f>
        <v/>
      </c>
      <c r="AD64" s="599" t="str">
        <f>IF(ISNUMBER(VLOOKUP($B64,#REF!,5,0)),VLOOKUP($B64,#REF!,5,0),"")</f>
        <v/>
      </c>
      <c r="AE64" s="599" t="str">
        <f>IF(ISNUMBER(VLOOKUP($B64,#REF!,6,0)),VLOOKUP($B64,#REF!,6,0),"")</f>
        <v/>
      </c>
      <c r="AF64" s="598" t="str">
        <f>IF(ISNUMBER(VLOOKUP($B64,#REF!,2,0)),VLOOKUP($B64,#REF!,2,0),"")</f>
        <v/>
      </c>
      <c r="AG64" s="599" t="str">
        <f>IF(ISNUMBER(VLOOKUP($B64,#REF!,3,0)),VLOOKUP($B64,#REF!,3,0),"")</f>
        <v/>
      </c>
      <c r="AH64" s="599" t="str">
        <f>IF(ISNUMBER(VLOOKUP($B64,#REF!,4,0)),VLOOKUP($B64,#REF!,4,0),"")</f>
        <v/>
      </c>
      <c r="AI64" s="599" t="str">
        <f>IF(ISNUMBER(VLOOKUP($B64,#REF!,5,0)),VLOOKUP($B64,#REF!,5,0),"")</f>
        <v/>
      </c>
      <c r="AJ64" s="599" t="str">
        <f>IF(ISNUMBER(VLOOKUP($B64,#REF!,6,0)),VLOOKUP($B64,#REF!,6,0),"")</f>
        <v/>
      </c>
      <c r="AK64" s="599" t="e">
        <f>VLOOKUP($B64,Skörd!$D$5:$M$72,7,0)</f>
        <v>#N/A</v>
      </c>
    </row>
    <row r="65" spans="2:37" hidden="1" x14ac:dyDescent="0.2">
      <c r="B65" s="596" t="s">
        <v>1077</v>
      </c>
      <c r="C65" s="598" t="str">
        <f>IF(ISNUMBER(VLOOKUP($B65,'F1'!$D$6:$G$73,2,0)),VLOOKUP($B65,'F1'!$D$6:$G$73,2,0),"")</f>
        <v/>
      </c>
      <c r="D65" s="599" t="str">
        <f>IF(ISNUMBER(VLOOKUP($B65,'F1'!$D$6:$G$73,3,0)),VLOOKUP($B65,'F1'!$D$6:$G$73,3,0),"")</f>
        <v/>
      </c>
      <c r="E65" s="599" t="str">
        <f>IF(ISNUMBER(VLOOKUP($B65,'F1'!$D$6:$G$73,4,0)),VLOOKUP($B65,'F1'!$D$6:$G$73,4,0),"")</f>
        <v/>
      </c>
      <c r="F65" s="598" t="str">
        <f>IF(ISNUMBER(VLOOKUP($B65,'F2'!$D$6:$G$73,2,0)),VLOOKUP($B65,'F2'!$D$6:$G$73,2,0),"")</f>
        <v/>
      </c>
      <c r="G65" s="599" t="str">
        <f>IF(ISNUMBER(VLOOKUP($B65,'F2'!$D$6:$G$73,3,0)),VLOOKUP($B65,'F2'!$D$6:$G$73,3,0),"")</f>
        <v/>
      </c>
      <c r="H65" s="599" t="str">
        <f>IF(ISNUMBER(VLOOKUP($B65,'F2'!$D$6:$G$73,4,0)),VLOOKUP($B65,'F2'!$D$6:$G$73,4,0),"")</f>
        <v/>
      </c>
      <c r="I65" s="598" t="str">
        <f>IF(ISNUMBER(VLOOKUP($B65,#REF!,2,0)),VLOOKUP($B65,#REF!,2,0),"")</f>
        <v/>
      </c>
      <c r="J65" s="599" t="str">
        <f>IF(ISNUMBER(VLOOKUP($B65,#REF!,3,0)),VLOOKUP($B65,#REF!,3,0),"")</f>
        <v/>
      </c>
      <c r="K65" s="599" t="str">
        <f>IF(ISNUMBER(VLOOKUP($B65,#REF!,4,0)),VLOOKUP($B65,#REF!,4,0),"")</f>
        <v/>
      </c>
      <c r="L65" s="598" t="str">
        <f>IF(ISNUMBER(VLOOKUP($B65,'G1'!$D$7:$M$74,2,0)),VLOOKUP($B65,'G1'!$D$7:$M$74,2,0),"")</f>
        <v/>
      </c>
      <c r="M65" s="599" t="str">
        <f>IF(ISNUMBER(VLOOKUP($B65,'G1'!$D$7:$M$74,3,0)),VLOOKUP($B65,'G1'!$D$7:$M$74,3,0),"")</f>
        <v/>
      </c>
      <c r="N65" s="599" t="str">
        <f>IF(ISNUMBER(VLOOKUP($B65,'G1'!$D$7:$M$74,4,0)),VLOOKUP($B65,'G1'!$D$7:$M$74,4,0),"")</f>
        <v/>
      </c>
      <c r="O65" s="599" t="str">
        <f>IF(ISNUMBER(VLOOKUP($B65,'G1'!$D$7:$M$74,5,0)),VLOOKUP($B65,'G1'!$D$7:$M$74,5,0),"")</f>
        <v/>
      </c>
      <c r="P65" s="599" t="str">
        <f>IF(ISNUMBER(VLOOKUP($B65,'G1'!$D$7:$M$74,6,0)),VLOOKUP($B65,'G1'!$D$7:$M$74,6,0),"")</f>
        <v/>
      </c>
      <c r="Q65" s="598" t="str">
        <f>IF(ISNUMBER(VLOOKUP($B65,'G2'!$D$7:$M$74,2,0)),VLOOKUP($B65,'G2'!$D$7:$M$74,2,0),"")</f>
        <v/>
      </c>
      <c r="R65" s="599" t="str">
        <f>IF(ISNUMBER(VLOOKUP($B65,'G2'!$D$7:$M$74,3,0)),VLOOKUP($B65,'G2'!$D$7:$M$74,3,0),"")</f>
        <v/>
      </c>
      <c r="S65" s="599" t="str">
        <f>IF(ISNUMBER(VLOOKUP($B65,'G2'!$D$7:$M$74,4,0)),VLOOKUP($B65,'G2'!$D$7:$M$74,4,0),"")</f>
        <v/>
      </c>
      <c r="T65" s="599" t="str">
        <f>IF(ISNUMBER(VLOOKUP($B65,'G2'!$D$7:$M$74,5,0)),VLOOKUP($B65,'G2'!$D$7:$M$74,5,0),"")</f>
        <v/>
      </c>
      <c r="U65" s="599" t="str">
        <f>IF(ISNUMBER(VLOOKUP($B65,'G2'!$D$7:$M$74,6,0)),VLOOKUP($B65,'G2'!$D$7:$M$74,6,0),"")</f>
        <v/>
      </c>
      <c r="V65" s="598" t="str">
        <f>IF(ISNUMBER(VLOOKUP($B65,'G3'!$D$7:$M$74,2,0)),VLOOKUP($B65,'G3'!$D$7:$M$74,2,0),"")</f>
        <v/>
      </c>
      <c r="W65" s="599" t="str">
        <f>IF(ISNUMBER(VLOOKUP($B65,'G3'!$D$7:$M$74,3,0)),VLOOKUP($B65,'G3'!$D$7:$M$74,3,0),"")</f>
        <v/>
      </c>
      <c r="X65" s="599" t="str">
        <f>IF(ISNUMBER(VLOOKUP($B65,'G3'!$D$7:$M$74,4,0)),VLOOKUP($B65,'G3'!$D$7:$M$74,4,0),"")</f>
        <v/>
      </c>
      <c r="Y65" s="599" t="str">
        <f>IF(ISNUMBER(VLOOKUP($B65,'G3'!$D$7:$M$74,5,0)),VLOOKUP($B65,'G3'!$D$7:$M$74,5,0),"")</f>
        <v/>
      </c>
      <c r="Z65" s="599" t="str">
        <f>IF(ISNUMBER(VLOOKUP($B65,'G3'!$D$7:$M$74,6,0)),VLOOKUP($B65,'G3'!$D$7:$M$74,6,0),"")</f>
        <v/>
      </c>
      <c r="AA65" s="598" t="str">
        <f>IF(ISNUMBER(VLOOKUP($B65,#REF!,2,0)),VLOOKUP($B65,#REF!,2,0),"")</f>
        <v/>
      </c>
      <c r="AB65" s="599" t="str">
        <f>IF(ISNUMBER(VLOOKUP($B65,#REF!,3,0)),VLOOKUP($B65,#REF!,3,0),"")</f>
        <v/>
      </c>
      <c r="AC65" s="599" t="str">
        <f>IF(ISNUMBER(VLOOKUP($B65,#REF!,4,0)),VLOOKUP($B65,#REF!,4,0),"")</f>
        <v/>
      </c>
      <c r="AD65" s="599" t="str">
        <f>IF(ISNUMBER(VLOOKUP($B65,#REF!,5,0)),VLOOKUP($B65,#REF!,5,0),"")</f>
        <v/>
      </c>
      <c r="AE65" s="599" t="str">
        <f>IF(ISNUMBER(VLOOKUP($B65,#REF!,6,0)),VLOOKUP($B65,#REF!,6,0),"")</f>
        <v/>
      </c>
      <c r="AF65" s="598" t="str">
        <f>IF(ISNUMBER(VLOOKUP($B65,#REF!,2,0)),VLOOKUP($B65,#REF!,2,0),"")</f>
        <v/>
      </c>
      <c r="AG65" s="599" t="str">
        <f>IF(ISNUMBER(VLOOKUP($B65,#REF!,3,0)),VLOOKUP($B65,#REF!,3,0),"")</f>
        <v/>
      </c>
      <c r="AH65" s="599" t="str">
        <f>IF(ISNUMBER(VLOOKUP($B65,#REF!,4,0)),VLOOKUP($B65,#REF!,4,0),"")</f>
        <v/>
      </c>
      <c r="AI65" s="599" t="str">
        <f>IF(ISNUMBER(VLOOKUP($B65,#REF!,5,0)),VLOOKUP($B65,#REF!,5,0),"")</f>
        <v/>
      </c>
      <c r="AJ65" s="599" t="str">
        <f>IF(ISNUMBER(VLOOKUP($B65,#REF!,6,0)),VLOOKUP($B65,#REF!,6,0),"")</f>
        <v/>
      </c>
      <c r="AK65" s="599" t="e">
        <f>VLOOKUP($B65,Skörd!$D$5:$M$72,7,0)</f>
        <v>#N/A</v>
      </c>
    </row>
    <row r="66" spans="2:37" hidden="1" x14ac:dyDescent="0.2">
      <c r="B66" s="596" t="s">
        <v>1078</v>
      </c>
      <c r="C66" s="598" t="str">
        <f>IF(ISNUMBER(VLOOKUP($B66,'F1'!$D$6:$G$73,2,0)),VLOOKUP($B66,'F1'!$D$6:$G$73,2,0),"")</f>
        <v/>
      </c>
      <c r="D66" s="599" t="str">
        <f>IF(ISNUMBER(VLOOKUP($B66,'F1'!$D$6:$G$73,3,0)),VLOOKUP($B66,'F1'!$D$6:$G$73,3,0),"")</f>
        <v/>
      </c>
      <c r="E66" s="599" t="str">
        <f>IF(ISNUMBER(VLOOKUP($B66,'F1'!$D$6:$G$73,4,0)),VLOOKUP($B66,'F1'!$D$6:$G$73,4,0),"")</f>
        <v/>
      </c>
      <c r="F66" s="598" t="str">
        <f>IF(ISNUMBER(VLOOKUP($B66,'F2'!$D$6:$G$73,2,0)),VLOOKUP($B66,'F2'!$D$6:$G$73,2,0),"")</f>
        <v/>
      </c>
      <c r="G66" s="599" t="str">
        <f>IF(ISNUMBER(VLOOKUP($B66,'F2'!$D$6:$G$73,3,0)),VLOOKUP($B66,'F2'!$D$6:$G$73,3,0),"")</f>
        <v/>
      </c>
      <c r="H66" s="599" t="str">
        <f>IF(ISNUMBER(VLOOKUP($B66,'F2'!$D$6:$G$73,4,0)),VLOOKUP($B66,'F2'!$D$6:$G$73,4,0),"")</f>
        <v/>
      </c>
      <c r="I66" s="598" t="str">
        <f>IF(ISNUMBER(VLOOKUP($B66,#REF!,2,0)),VLOOKUP($B66,#REF!,2,0),"")</f>
        <v/>
      </c>
      <c r="J66" s="599" t="str">
        <f>IF(ISNUMBER(VLOOKUP($B66,#REF!,3,0)),VLOOKUP($B66,#REF!,3,0),"")</f>
        <v/>
      </c>
      <c r="K66" s="599" t="str">
        <f>IF(ISNUMBER(VLOOKUP($B66,#REF!,4,0)),VLOOKUP($B66,#REF!,4,0),"")</f>
        <v/>
      </c>
      <c r="L66" s="598" t="str">
        <f>IF(ISNUMBER(VLOOKUP($B66,'G1'!$D$7:$M$74,2,0)),VLOOKUP($B66,'G1'!$D$7:$M$74,2,0),"")</f>
        <v/>
      </c>
      <c r="M66" s="599" t="str">
        <f>IF(ISNUMBER(VLOOKUP($B66,'G1'!$D$7:$M$74,3,0)),VLOOKUP($B66,'G1'!$D$7:$M$74,3,0),"")</f>
        <v/>
      </c>
      <c r="N66" s="599" t="str">
        <f>IF(ISNUMBER(VLOOKUP($B66,'G1'!$D$7:$M$74,4,0)),VLOOKUP($B66,'G1'!$D$7:$M$74,4,0),"")</f>
        <v/>
      </c>
      <c r="O66" s="599" t="str">
        <f>IF(ISNUMBER(VLOOKUP($B66,'G1'!$D$7:$M$74,5,0)),VLOOKUP($B66,'G1'!$D$7:$M$74,5,0),"")</f>
        <v/>
      </c>
      <c r="P66" s="599" t="str">
        <f>IF(ISNUMBER(VLOOKUP($B66,'G1'!$D$7:$M$74,6,0)),VLOOKUP($B66,'G1'!$D$7:$M$74,6,0),"")</f>
        <v/>
      </c>
      <c r="Q66" s="598" t="str">
        <f>IF(ISNUMBER(VLOOKUP($B66,'G2'!$D$7:$M$74,2,0)),VLOOKUP($B66,'G2'!$D$7:$M$74,2,0),"")</f>
        <v/>
      </c>
      <c r="R66" s="599" t="str">
        <f>IF(ISNUMBER(VLOOKUP($B66,'G2'!$D$7:$M$74,3,0)),VLOOKUP($B66,'G2'!$D$7:$M$74,3,0),"")</f>
        <v/>
      </c>
      <c r="S66" s="599" t="str">
        <f>IF(ISNUMBER(VLOOKUP($B66,'G2'!$D$7:$M$74,4,0)),VLOOKUP($B66,'G2'!$D$7:$M$74,4,0),"")</f>
        <v/>
      </c>
      <c r="T66" s="599" t="str">
        <f>IF(ISNUMBER(VLOOKUP($B66,'G2'!$D$7:$M$74,5,0)),VLOOKUP($B66,'G2'!$D$7:$M$74,5,0),"")</f>
        <v/>
      </c>
      <c r="U66" s="599" t="str">
        <f>IF(ISNUMBER(VLOOKUP($B66,'G2'!$D$7:$M$74,6,0)),VLOOKUP($B66,'G2'!$D$7:$M$74,6,0),"")</f>
        <v/>
      </c>
      <c r="V66" s="598" t="str">
        <f>IF(ISNUMBER(VLOOKUP($B66,'G3'!$D$7:$M$74,2,0)),VLOOKUP($B66,'G3'!$D$7:$M$74,2,0),"")</f>
        <v/>
      </c>
      <c r="W66" s="599" t="str">
        <f>IF(ISNUMBER(VLOOKUP($B66,'G3'!$D$7:$M$74,3,0)),VLOOKUP($B66,'G3'!$D$7:$M$74,3,0),"")</f>
        <v/>
      </c>
      <c r="X66" s="599" t="str">
        <f>IF(ISNUMBER(VLOOKUP($B66,'G3'!$D$7:$M$74,4,0)),VLOOKUP($B66,'G3'!$D$7:$M$74,4,0),"")</f>
        <v/>
      </c>
      <c r="Y66" s="599" t="str">
        <f>IF(ISNUMBER(VLOOKUP($B66,'G3'!$D$7:$M$74,5,0)),VLOOKUP($B66,'G3'!$D$7:$M$74,5,0),"")</f>
        <v/>
      </c>
      <c r="Z66" s="599" t="str">
        <f>IF(ISNUMBER(VLOOKUP($B66,'G3'!$D$7:$M$74,6,0)),VLOOKUP($B66,'G3'!$D$7:$M$74,6,0),"")</f>
        <v/>
      </c>
      <c r="AA66" s="598" t="str">
        <f>IF(ISNUMBER(VLOOKUP($B66,#REF!,2,0)),VLOOKUP($B66,#REF!,2,0),"")</f>
        <v/>
      </c>
      <c r="AB66" s="599" t="str">
        <f>IF(ISNUMBER(VLOOKUP($B66,#REF!,3,0)),VLOOKUP($B66,#REF!,3,0),"")</f>
        <v/>
      </c>
      <c r="AC66" s="599" t="str">
        <f>IF(ISNUMBER(VLOOKUP($B66,#REF!,4,0)),VLOOKUP($B66,#REF!,4,0),"")</f>
        <v/>
      </c>
      <c r="AD66" s="599" t="str">
        <f>IF(ISNUMBER(VLOOKUP($B66,#REF!,5,0)),VLOOKUP($B66,#REF!,5,0),"")</f>
        <v/>
      </c>
      <c r="AE66" s="599" t="str">
        <f>IF(ISNUMBER(VLOOKUP($B66,#REF!,6,0)),VLOOKUP($B66,#REF!,6,0),"")</f>
        <v/>
      </c>
      <c r="AF66" s="598" t="str">
        <f>IF(ISNUMBER(VLOOKUP($B66,#REF!,2,0)),VLOOKUP($B66,#REF!,2,0),"")</f>
        <v/>
      </c>
      <c r="AG66" s="599" t="str">
        <f>IF(ISNUMBER(VLOOKUP($B66,#REF!,3,0)),VLOOKUP($B66,#REF!,3,0),"")</f>
        <v/>
      </c>
      <c r="AH66" s="599" t="str">
        <f>IF(ISNUMBER(VLOOKUP($B66,#REF!,4,0)),VLOOKUP($B66,#REF!,4,0),"")</f>
        <v/>
      </c>
      <c r="AI66" s="599" t="str">
        <f>IF(ISNUMBER(VLOOKUP($B66,#REF!,5,0)),VLOOKUP($B66,#REF!,5,0),"")</f>
        <v/>
      </c>
      <c r="AJ66" s="599" t="str">
        <f>IF(ISNUMBER(VLOOKUP($B66,#REF!,6,0)),VLOOKUP($B66,#REF!,6,0),"")</f>
        <v/>
      </c>
      <c r="AK66" s="599" t="e">
        <f>VLOOKUP($B66,Skörd!$D$5:$M$72,7,0)</f>
        <v>#N/A</v>
      </c>
    </row>
    <row r="67" spans="2:37" hidden="1" x14ac:dyDescent="0.2">
      <c r="B67" s="596" t="s">
        <v>1079</v>
      </c>
      <c r="C67" s="598" t="str">
        <f>IF(ISNUMBER(VLOOKUP($B67,'F1'!$D$6:$G$73,2,0)),VLOOKUP($B67,'F1'!$D$6:$G$73,2,0),"")</f>
        <v/>
      </c>
      <c r="D67" s="599" t="str">
        <f>IF(ISNUMBER(VLOOKUP($B67,'F1'!$D$6:$G$73,3,0)),VLOOKUP($B67,'F1'!$D$6:$G$73,3,0),"")</f>
        <v/>
      </c>
      <c r="E67" s="599" t="str">
        <f>IF(ISNUMBER(VLOOKUP($B67,'F1'!$D$6:$G$73,4,0)),VLOOKUP($B67,'F1'!$D$6:$G$73,4,0),"")</f>
        <v/>
      </c>
      <c r="F67" s="598" t="str">
        <f>IF(ISNUMBER(VLOOKUP($B67,'F2'!$D$6:$G$73,2,0)),VLOOKUP($B67,'F2'!$D$6:$G$73,2,0),"")</f>
        <v/>
      </c>
      <c r="G67" s="599" t="str">
        <f>IF(ISNUMBER(VLOOKUP($B67,'F2'!$D$6:$G$73,3,0)),VLOOKUP($B67,'F2'!$D$6:$G$73,3,0),"")</f>
        <v/>
      </c>
      <c r="H67" s="599" t="str">
        <f>IF(ISNUMBER(VLOOKUP($B67,'F2'!$D$6:$G$73,4,0)),VLOOKUP($B67,'F2'!$D$6:$G$73,4,0),"")</f>
        <v/>
      </c>
      <c r="I67" s="598" t="str">
        <f>IF(ISNUMBER(VLOOKUP($B67,#REF!,2,0)),VLOOKUP($B67,#REF!,2,0),"")</f>
        <v/>
      </c>
      <c r="J67" s="599" t="str">
        <f>IF(ISNUMBER(VLOOKUP($B67,#REF!,3,0)),VLOOKUP($B67,#REF!,3,0),"")</f>
        <v/>
      </c>
      <c r="K67" s="599" t="str">
        <f>IF(ISNUMBER(VLOOKUP($B67,#REF!,4,0)),VLOOKUP($B67,#REF!,4,0),"")</f>
        <v/>
      </c>
      <c r="L67" s="598" t="str">
        <f>IF(ISNUMBER(VLOOKUP($B67,'G1'!$D$7:$M$74,2,0)),VLOOKUP($B67,'G1'!$D$7:$M$74,2,0),"")</f>
        <v/>
      </c>
      <c r="M67" s="599" t="str">
        <f>IF(ISNUMBER(VLOOKUP($B67,'G1'!$D$7:$M$74,3,0)),VLOOKUP($B67,'G1'!$D$7:$M$74,3,0),"")</f>
        <v/>
      </c>
      <c r="N67" s="599" t="str">
        <f>IF(ISNUMBER(VLOOKUP($B67,'G1'!$D$7:$M$74,4,0)),VLOOKUP($B67,'G1'!$D$7:$M$74,4,0),"")</f>
        <v/>
      </c>
      <c r="O67" s="599" t="str">
        <f>IF(ISNUMBER(VLOOKUP($B67,'G1'!$D$7:$M$74,5,0)),VLOOKUP($B67,'G1'!$D$7:$M$74,5,0),"")</f>
        <v/>
      </c>
      <c r="P67" s="599" t="str">
        <f>IF(ISNUMBER(VLOOKUP($B67,'G1'!$D$7:$M$74,6,0)),VLOOKUP($B67,'G1'!$D$7:$M$74,6,0),"")</f>
        <v/>
      </c>
      <c r="Q67" s="598" t="str">
        <f>IF(ISNUMBER(VLOOKUP($B67,'G2'!$D$7:$M$74,2,0)),VLOOKUP($B67,'G2'!$D$7:$M$74,2,0),"")</f>
        <v/>
      </c>
      <c r="R67" s="599" t="str">
        <f>IF(ISNUMBER(VLOOKUP($B67,'G2'!$D$7:$M$74,3,0)),VLOOKUP($B67,'G2'!$D$7:$M$74,3,0),"")</f>
        <v/>
      </c>
      <c r="S67" s="599" t="str">
        <f>IF(ISNUMBER(VLOOKUP($B67,'G2'!$D$7:$M$74,4,0)),VLOOKUP($B67,'G2'!$D$7:$M$74,4,0),"")</f>
        <v/>
      </c>
      <c r="T67" s="599" t="str">
        <f>IF(ISNUMBER(VLOOKUP($B67,'G2'!$D$7:$M$74,5,0)),VLOOKUP($B67,'G2'!$D$7:$M$74,5,0),"")</f>
        <v/>
      </c>
      <c r="U67" s="599" t="str">
        <f>IF(ISNUMBER(VLOOKUP($B67,'G2'!$D$7:$M$74,6,0)),VLOOKUP($B67,'G2'!$D$7:$M$74,6,0),"")</f>
        <v/>
      </c>
      <c r="V67" s="598" t="str">
        <f>IF(ISNUMBER(VLOOKUP($B67,'G3'!$D$7:$M$74,2,0)),VLOOKUP($B67,'G3'!$D$7:$M$74,2,0),"")</f>
        <v/>
      </c>
      <c r="W67" s="599" t="str">
        <f>IF(ISNUMBER(VLOOKUP($B67,'G3'!$D$7:$M$74,3,0)),VLOOKUP($B67,'G3'!$D$7:$M$74,3,0),"")</f>
        <v/>
      </c>
      <c r="X67" s="599" t="str">
        <f>IF(ISNUMBER(VLOOKUP($B67,'G3'!$D$7:$M$74,4,0)),VLOOKUP($B67,'G3'!$D$7:$M$74,4,0),"")</f>
        <v/>
      </c>
      <c r="Y67" s="599" t="str">
        <f>IF(ISNUMBER(VLOOKUP($B67,'G3'!$D$7:$M$74,5,0)),VLOOKUP($B67,'G3'!$D$7:$M$74,5,0),"")</f>
        <v/>
      </c>
      <c r="Z67" s="599" t="str">
        <f>IF(ISNUMBER(VLOOKUP($B67,'G3'!$D$7:$M$74,6,0)),VLOOKUP($B67,'G3'!$D$7:$M$74,6,0),"")</f>
        <v/>
      </c>
      <c r="AA67" s="598" t="str">
        <f>IF(ISNUMBER(VLOOKUP($B67,#REF!,2,0)),VLOOKUP($B67,#REF!,2,0),"")</f>
        <v/>
      </c>
      <c r="AB67" s="599" t="str">
        <f>IF(ISNUMBER(VLOOKUP($B67,#REF!,3,0)),VLOOKUP($B67,#REF!,3,0),"")</f>
        <v/>
      </c>
      <c r="AC67" s="599" t="str">
        <f>IF(ISNUMBER(VLOOKUP($B67,#REF!,4,0)),VLOOKUP($B67,#REF!,4,0),"")</f>
        <v/>
      </c>
      <c r="AD67" s="599" t="str">
        <f>IF(ISNUMBER(VLOOKUP($B67,#REF!,5,0)),VLOOKUP($B67,#REF!,5,0),"")</f>
        <v/>
      </c>
      <c r="AE67" s="599" t="str">
        <f>IF(ISNUMBER(VLOOKUP($B67,#REF!,6,0)),VLOOKUP($B67,#REF!,6,0),"")</f>
        <v/>
      </c>
      <c r="AF67" s="598" t="str">
        <f>IF(ISNUMBER(VLOOKUP($B67,#REF!,2,0)),VLOOKUP($B67,#REF!,2,0),"")</f>
        <v/>
      </c>
      <c r="AG67" s="599" t="str">
        <f>IF(ISNUMBER(VLOOKUP($B67,#REF!,3,0)),VLOOKUP($B67,#REF!,3,0),"")</f>
        <v/>
      </c>
      <c r="AH67" s="599" t="str">
        <f>IF(ISNUMBER(VLOOKUP($B67,#REF!,4,0)),VLOOKUP($B67,#REF!,4,0),"")</f>
        <v/>
      </c>
      <c r="AI67" s="599" t="str">
        <f>IF(ISNUMBER(VLOOKUP($B67,#REF!,5,0)),VLOOKUP($B67,#REF!,5,0),"")</f>
        <v/>
      </c>
      <c r="AJ67" s="599" t="str">
        <f>IF(ISNUMBER(VLOOKUP($B67,#REF!,6,0)),VLOOKUP($B67,#REF!,6,0),"")</f>
        <v/>
      </c>
      <c r="AK67" s="599" t="e">
        <f>VLOOKUP($B67,Skörd!$D$5:$M$72,7,0)</f>
        <v>#N/A</v>
      </c>
    </row>
    <row r="68" spans="2:37" hidden="1" x14ac:dyDescent="0.2">
      <c r="B68" s="596" t="s">
        <v>1080</v>
      </c>
      <c r="C68" s="598" t="str">
        <f>IF(ISNUMBER(VLOOKUP($B68,'F1'!$D$6:$G$73,2,0)),VLOOKUP($B68,'F1'!$D$6:$G$73,2,0),"")</f>
        <v/>
      </c>
      <c r="D68" s="599" t="str">
        <f>IF(ISNUMBER(VLOOKUP($B68,'F1'!$D$6:$G$73,3,0)),VLOOKUP($B68,'F1'!$D$6:$G$73,3,0),"")</f>
        <v/>
      </c>
      <c r="E68" s="599" t="str">
        <f>IF(ISNUMBER(VLOOKUP($B68,'F1'!$D$6:$G$73,4,0)),VLOOKUP($B68,'F1'!$D$6:$G$73,4,0),"")</f>
        <v/>
      </c>
      <c r="F68" s="598" t="str">
        <f>IF(ISNUMBER(VLOOKUP($B68,'F2'!$D$6:$G$73,2,0)),VLOOKUP($B68,'F2'!$D$6:$G$73,2,0),"")</f>
        <v/>
      </c>
      <c r="G68" s="599" t="str">
        <f>IF(ISNUMBER(VLOOKUP($B68,'F2'!$D$6:$G$73,3,0)),VLOOKUP($B68,'F2'!$D$6:$G$73,3,0),"")</f>
        <v/>
      </c>
      <c r="H68" s="599" t="str">
        <f>IF(ISNUMBER(VLOOKUP($B68,'F2'!$D$6:$G$73,4,0)),VLOOKUP($B68,'F2'!$D$6:$G$73,4,0),"")</f>
        <v/>
      </c>
      <c r="I68" s="598" t="str">
        <f>IF(ISNUMBER(VLOOKUP($B68,#REF!,2,0)),VLOOKUP($B68,#REF!,2,0),"")</f>
        <v/>
      </c>
      <c r="J68" s="599" t="str">
        <f>IF(ISNUMBER(VLOOKUP($B68,#REF!,3,0)),VLOOKUP($B68,#REF!,3,0),"")</f>
        <v/>
      </c>
      <c r="K68" s="599" t="str">
        <f>IF(ISNUMBER(VLOOKUP($B68,#REF!,4,0)),VLOOKUP($B68,#REF!,4,0),"")</f>
        <v/>
      </c>
      <c r="L68" s="598" t="str">
        <f>IF(ISNUMBER(VLOOKUP($B68,'G1'!$D$7:$M$74,2,0)),VLOOKUP($B68,'G1'!$D$7:$M$74,2,0),"")</f>
        <v/>
      </c>
      <c r="M68" s="599" t="str">
        <f>IF(ISNUMBER(VLOOKUP($B68,'G1'!$D$7:$M$74,3,0)),VLOOKUP($B68,'G1'!$D$7:$M$74,3,0),"")</f>
        <v/>
      </c>
      <c r="N68" s="599" t="str">
        <f>IF(ISNUMBER(VLOOKUP($B68,'G1'!$D$7:$M$74,4,0)),VLOOKUP($B68,'G1'!$D$7:$M$74,4,0),"")</f>
        <v/>
      </c>
      <c r="O68" s="599" t="str">
        <f>IF(ISNUMBER(VLOOKUP($B68,'G1'!$D$7:$M$74,5,0)),VLOOKUP($B68,'G1'!$D$7:$M$74,5,0),"")</f>
        <v/>
      </c>
      <c r="P68" s="599" t="str">
        <f>IF(ISNUMBER(VLOOKUP($B68,'G1'!$D$7:$M$74,6,0)),VLOOKUP($B68,'G1'!$D$7:$M$74,6,0),"")</f>
        <v/>
      </c>
      <c r="Q68" s="598" t="str">
        <f>IF(ISNUMBER(VLOOKUP($B68,'G2'!$D$7:$M$74,2,0)),VLOOKUP($B68,'G2'!$D$7:$M$74,2,0),"")</f>
        <v/>
      </c>
      <c r="R68" s="599" t="str">
        <f>IF(ISNUMBER(VLOOKUP($B68,'G2'!$D$7:$M$74,3,0)),VLOOKUP($B68,'G2'!$D$7:$M$74,3,0),"")</f>
        <v/>
      </c>
      <c r="S68" s="599" t="str">
        <f>IF(ISNUMBER(VLOOKUP($B68,'G2'!$D$7:$M$74,4,0)),VLOOKUP($B68,'G2'!$D$7:$M$74,4,0),"")</f>
        <v/>
      </c>
      <c r="T68" s="599" t="str">
        <f>IF(ISNUMBER(VLOOKUP($B68,'G2'!$D$7:$M$74,5,0)),VLOOKUP($B68,'G2'!$D$7:$M$74,5,0),"")</f>
        <v/>
      </c>
      <c r="U68" s="599" t="str">
        <f>IF(ISNUMBER(VLOOKUP($B68,'G2'!$D$7:$M$74,6,0)),VLOOKUP($B68,'G2'!$D$7:$M$74,6,0),"")</f>
        <v/>
      </c>
      <c r="V68" s="598" t="str">
        <f>IF(ISNUMBER(VLOOKUP($B68,'G3'!$D$7:$M$74,2,0)),VLOOKUP($B68,'G3'!$D$7:$M$74,2,0),"")</f>
        <v/>
      </c>
      <c r="W68" s="599" t="str">
        <f>IF(ISNUMBER(VLOOKUP($B68,'G3'!$D$7:$M$74,3,0)),VLOOKUP($B68,'G3'!$D$7:$M$74,3,0),"")</f>
        <v/>
      </c>
      <c r="X68" s="599" t="str">
        <f>IF(ISNUMBER(VLOOKUP($B68,'G3'!$D$7:$M$74,4,0)),VLOOKUP($B68,'G3'!$D$7:$M$74,4,0),"")</f>
        <v/>
      </c>
      <c r="Y68" s="599" t="str">
        <f>IF(ISNUMBER(VLOOKUP($B68,'G3'!$D$7:$M$74,5,0)),VLOOKUP($B68,'G3'!$D$7:$M$74,5,0),"")</f>
        <v/>
      </c>
      <c r="Z68" s="599" t="str">
        <f>IF(ISNUMBER(VLOOKUP($B68,'G3'!$D$7:$M$74,6,0)),VLOOKUP($B68,'G3'!$D$7:$M$74,6,0),"")</f>
        <v/>
      </c>
      <c r="AA68" s="598" t="str">
        <f>IF(ISNUMBER(VLOOKUP($B68,#REF!,2,0)),VLOOKUP($B68,#REF!,2,0),"")</f>
        <v/>
      </c>
      <c r="AB68" s="599" t="str">
        <f>IF(ISNUMBER(VLOOKUP($B68,#REF!,3,0)),VLOOKUP($B68,#REF!,3,0),"")</f>
        <v/>
      </c>
      <c r="AC68" s="599" t="str">
        <f>IF(ISNUMBER(VLOOKUP($B68,#REF!,4,0)),VLOOKUP($B68,#REF!,4,0),"")</f>
        <v/>
      </c>
      <c r="AD68" s="599" t="str">
        <f>IF(ISNUMBER(VLOOKUP($B68,#REF!,5,0)),VLOOKUP($B68,#REF!,5,0),"")</f>
        <v/>
      </c>
      <c r="AE68" s="599" t="str">
        <f>IF(ISNUMBER(VLOOKUP($B68,#REF!,6,0)),VLOOKUP($B68,#REF!,6,0),"")</f>
        <v/>
      </c>
      <c r="AF68" s="598" t="str">
        <f>IF(ISNUMBER(VLOOKUP($B68,#REF!,2,0)),VLOOKUP($B68,#REF!,2,0),"")</f>
        <v/>
      </c>
      <c r="AG68" s="599" t="str">
        <f>IF(ISNUMBER(VLOOKUP($B68,#REF!,3,0)),VLOOKUP($B68,#REF!,3,0),"")</f>
        <v/>
      </c>
      <c r="AH68" s="599" t="str">
        <f>IF(ISNUMBER(VLOOKUP($B68,#REF!,4,0)),VLOOKUP($B68,#REF!,4,0),"")</f>
        <v/>
      </c>
      <c r="AI68" s="599" t="str">
        <f>IF(ISNUMBER(VLOOKUP($B68,#REF!,5,0)),VLOOKUP($B68,#REF!,5,0),"")</f>
        <v/>
      </c>
      <c r="AJ68" s="599" t="str">
        <f>IF(ISNUMBER(VLOOKUP($B68,#REF!,6,0)),VLOOKUP($B68,#REF!,6,0),"")</f>
        <v/>
      </c>
      <c r="AK68" s="599" t="e">
        <f>VLOOKUP($B68,Skörd!$D$5:$M$72,7,0)</f>
        <v>#N/A</v>
      </c>
    </row>
    <row r="69" spans="2:37" hidden="1" x14ac:dyDescent="0.2">
      <c r="B69" s="596" t="s">
        <v>1081</v>
      </c>
      <c r="C69" s="598" t="str">
        <f>IF(ISNUMBER(VLOOKUP($B69,'F1'!$D$6:$G$73,2,0)),VLOOKUP($B69,'F1'!$D$6:$G$73,2,0),"")</f>
        <v/>
      </c>
      <c r="D69" s="599" t="str">
        <f>IF(ISNUMBER(VLOOKUP($B69,'F1'!$D$6:$G$73,3,0)),VLOOKUP($B69,'F1'!$D$6:$G$73,3,0),"")</f>
        <v/>
      </c>
      <c r="E69" s="599" t="str">
        <f>IF(ISNUMBER(VLOOKUP($B69,'F1'!$D$6:$G$73,4,0)),VLOOKUP($B69,'F1'!$D$6:$G$73,4,0),"")</f>
        <v/>
      </c>
      <c r="F69" s="598" t="str">
        <f>IF(ISNUMBER(VLOOKUP($B69,'F2'!$D$6:$G$73,2,0)),VLOOKUP($B69,'F2'!$D$6:$G$73,2,0),"")</f>
        <v/>
      </c>
      <c r="G69" s="599" t="str">
        <f>IF(ISNUMBER(VLOOKUP($B69,'F2'!$D$6:$G$73,3,0)),VLOOKUP($B69,'F2'!$D$6:$G$73,3,0),"")</f>
        <v/>
      </c>
      <c r="H69" s="599" t="str">
        <f>IF(ISNUMBER(VLOOKUP($B69,'F2'!$D$6:$G$73,4,0)),VLOOKUP($B69,'F2'!$D$6:$G$73,4,0),"")</f>
        <v/>
      </c>
      <c r="I69" s="598" t="str">
        <f>IF(ISNUMBER(VLOOKUP($B69,#REF!,2,0)),VLOOKUP($B69,#REF!,2,0),"")</f>
        <v/>
      </c>
      <c r="J69" s="599" t="str">
        <f>IF(ISNUMBER(VLOOKUP($B69,#REF!,3,0)),VLOOKUP($B69,#REF!,3,0),"")</f>
        <v/>
      </c>
      <c r="K69" s="599" t="str">
        <f>IF(ISNUMBER(VLOOKUP($B69,#REF!,4,0)),VLOOKUP($B69,#REF!,4,0),"")</f>
        <v/>
      </c>
      <c r="L69" s="598" t="str">
        <f>IF(ISNUMBER(VLOOKUP($B69,'G1'!$D$7:$M$74,2,0)),VLOOKUP($B69,'G1'!$D$7:$M$74,2,0),"")</f>
        <v/>
      </c>
      <c r="M69" s="599" t="str">
        <f>IF(ISNUMBER(VLOOKUP($B69,'G1'!$D$7:$M$74,3,0)),VLOOKUP($B69,'G1'!$D$7:$M$74,3,0),"")</f>
        <v/>
      </c>
      <c r="N69" s="599" t="str">
        <f>IF(ISNUMBER(VLOOKUP($B69,'G1'!$D$7:$M$74,4,0)),VLOOKUP($B69,'G1'!$D$7:$M$74,4,0),"")</f>
        <v/>
      </c>
      <c r="O69" s="599" t="str">
        <f>IF(ISNUMBER(VLOOKUP($B69,'G1'!$D$7:$M$74,5,0)),VLOOKUP($B69,'G1'!$D$7:$M$74,5,0),"")</f>
        <v/>
      </c>
      <c r="P69" s="599" t="str">
        <f>IF(ISNUMBER(VLOOKUP($B69,'G1'!$D$7:$M$74,6,0)),VLOOKUP($B69,'G1'!$D$7:$M$74,6,0),"")</f>
        <v/>
      </c>
      <c r="Q69" s="598" t="str">
        <f>IF(ISNUMBER(VLOOKUP($B69,'G2'!$D$7:$M$74,2,0)),VLOOKUP($B69,'G2'!$D$7:$M$74,2,0),"")</f>
        <v/>
      </c>
      <c r="R69" s="599" t="str">
        <f>IF(ISNUMBER(VLOOKUP($B69,'G2'!$D$7:$M$74,3,0)),VLOOKUP($B69,'G2'!$D$7:$M$74,3,0),"")</f>
        <v/>
      </c>
      <c r="S69" s="599" t="str">
        <f>IF(ISNUMBER(VLOOKUP($B69,'G2'!$D$7:$M$74,4,0)),VLOOKUP($B69,'G2'!$D$7:$M$74,4,0),"")</f>
        <v/>
      </c>
      <c r="T69" s="599" t="str">
        <f>IF(ISNUMBER(VLOOKUP($B69,'G2'!$D$7:$M$74,5,0)),VLOOKUP($B69,'G2'!$D$7:$M$74,5,0),"")</f>
        <v/>
      </c>
      <c r="U69" s="599" t="str">
        <f>IF(ISNUMBER(VLOOKUP($B69,'G2'!$D$7:$M$74,6,0)),VLOOKUP($B69,'G2'!$D$7:$M$74,6,0),"")</f>
        <v/>
      </c>
      <c r="V69" s="598" t="str">
        <f>IF(ISNUMBER(VLOOKUP($B69,'G3'!$D$7:$M$74,2,0)),VLOOKUP($B69,'G3'!$D$7:$M$74,2,0),"")</f>
        <v/>
      </c>
      <c r="W69" s="599" t="str">
        <f>IF(ISNUMBER(VLOOKUP($B69,'G3'!$D$7:$M$74,3,0)),VLOOKUP($B69,'G3'!$D$7:$M$74,3,0),"")</f>
        <v/>
      </c>
      <c r="X69" s="599" t="str">
        <f>IF(ISNUMBER(VLOOKUP($B69,'G3'!$D$7:$M$74,4,0)),VLOOKUP($B69,'G3'!$D$7:$M$74,4,0),"")</f>
        <v/>
      </c>
      <c r="Y69" s="599" t="str">
        <f>IF(ISNUMBER(VLOOKUP($B69,'G3'!$D$7:$M$74,5,0)),VLOOKUP($B69,'G3'!$D$7:$M$74,5,0),"")</f>
        <v/>
      </c>
      <c r="Z69" s="599" t="str">
        <f>IF(ISNUMBER(VLOOKUP($B69,'G3'!$D$7:$M$74,6,0)),VLOOKUP($B69,'G3'!$D$7:$M$74,6,0),"")</f>
        <v/>
      </c>
      <c r="AA69" s="598" t="str">
        <f>IF(ISNUMBER(VLOOKUP($B69,#REF!,2,0)),VLOOKUP($B69,#REF!,2,0),"")</f>
        <v/>
      </c>
      <c r="AB69" s="599" t="str">
        <f>IF(ISNUMBER(VLOOKUP($B69,#REF!,3,0)),VLOOKUP($B69,#REF!,3,0),"")</f>
        <v/>
      </c>
      <c r="AC69" s="599" t="str">
        <f>IF(ISNUMBER(VLOOKUP($B69,#REF!,4,0)),VLOOKUP($B69,#REF!,4,0),"")</f>
        <v/>
      </c>
      <c r="AD69" s="599" t="str">
        <f>IF(ISNUMBER(VLOOKUP($B69,#REF!,5,0)),VLOOKUP($B69,#REF!,5,0),"")</f>
        <v/>
      </c>
      <c r="AE69" s="599" t="str">
        <f>IF(ISNUMBER(VLOOKUP($B69,#REF!,6,0)),VLOOKUP($B69,#REF!,6,0),"")</f>
        <v/>
      </c>
      <c r="AF69" s="598" t="str">
        <f>IF(ISNUMBER(VLOOKUP($B69,#REF!,2,0)),VLOOKUP($B69,#REF!,2,0),"")</f>
        <v/>
      </c>
      <c r="AG69" s="599" t="str">
        <f>IF(ISNUMBER(VLOOKUP($B69,#REF!,3,0)),VLOOKUP($B69,#REF!,3,0),"")</f>
        <v/>
      </c>
      <c r="AH69" s="599" t="str">
        <f>IF(ISNUMBER(VLOOKUP($B69,#REF!,4,0)),VLOOKUP($B69,#REF!,4,0),"")</f>
        <v/>
      </c>
      <c r="AI69" s="599" t="str">
        <f>IF(ISNUMBER(VLOOKUP($B69,#REF!,5,0)),VLOOKUP($B69,#REF!,5,0),"")</f>
        <v/>
      </c>
      <c r="AJ69" s="599" t="str">
        <f>IF(ISNUMBER(VLOOKUP($B69,#REF!,6,0)),VLOOKUP($B69,#REF!,6,0),"")</f>
        <v/>
      </c>
      <c r="AK69" s="599" t="e">
        <f>VLOOKUP($B69,Skörd!$D$5:$M$72,7,0)</f>
        <v>#N/A</v>
      </c>
    </row>
    <row r="70" spans="2:37" hidden="1" x14ac:dyDescent="0.2">
      <c r="B70" s="596" t="s">
        <v>1082</v>
      </c>
      <c r="C70" s="598" t="str">
        <f>IF(ISNUMBER(VLOOKUP($B70,'F1'!$D$6:$G$73,2,0)),VLOOKUP($B70,'F1'!$D$6:$G$73,2,0),"")</f>
        <v/>
      </c>
      <c r="D70" s="599" t="str">
        <f>IF(ISNUMBER(VLOOKUP($B70,'F1'!$D$6:$G$73,3,0)),VLOOKUP($B70,'F1'!$D$6:$G$73,3,0),"")</f>
        <v/>
      </c>
      <c r="E70" s="599" t="str">
        <f>IF(ISNUMBER(VLOOKUP($B70,'F1'!$D$6:$G$73,4,0)),VLOOKUP($B70,'F1'!$D$6:$G$73,4,0),"")</f>
        <v/>
      </c>
      <c r="F70" s="598" t="str">
        <f>IF(ISNUMBER(VLOOKUP($B70,'F2'!$D$6:$G$73,2,0)),VLOOKUP($B70,'F2'!$D$6:$G$73,2,0),"")</f>
        <v/>
      </c>
      <c r="G70" s="599" t="str">
        <f>IF(ISNUMBER(VLOOKUP($B70,'F2'!$D$6:$G$73,3,0)),VLOOKUP($B70,'F2'!$D$6:$G$73,3,0),"")</f>
        <v/>
      </c>
      <c r="H70" s="599" t="str">
        <f>IF(ISNUMBER(VLOOKUP($B70,'F2'!$D$6:$G$73,4,0)),VLOOKUP($B70,'F2'!$D$6:$G$73,4,0),"")</f>
        <v/>
      </c>
      <c r="I70" s="598" t="str">
        <f>IF(ISNUMBER(VLOOKUP($B70,#REF!,2,0)),VLOOKUP($B70,#REF!,2,0),"")</f>
        <v/>
      </c>
      <c r="J70" s="599" t="str">
        <f>IF(ISNUMBER(VLOOKUP($B70,#REF!,3,0)),VLOOKUP($B70,#REF!,3,0),"")</f>
        <v/>
      </c>
      <c r="K70" s="599" t="str">
        <f>IF(ISNUMBER(VLOOKUP($B70,#REF!,4,0)),VLOOKUP($B70,#REF!,4,0),"")</f>
        <v/>
      </c>
      <c r="L70" s="598" t="str">
        <f>IF(ISNUMBER(VLOOKUP($B70,'G1'!$D$7:$M$74,2,0)),VLOOKUP($B70,'G1'!$D$7:$M$74,2,0),"")</f>
        <v/>
      </c>
      <c r="M70" s="599" t="str">
        <f>IF(ISNUMBER(VLOOKUP($B70,'G1'!$D$7:$M$74,3,0)),VLOOKUP($B70,'G1'!$D$7:$M$74,3,0),"")</f>
        <v/>
      </c>
      <c r="N70" s="599" t="str">
        <f>IF(ISNUMBER(VLOOKUP($B70,'G1'!$D$7:$M$74,4,0)),VLOOKUP($B70,'G1'!$D$7:$M$74,4,0),"")</f>
        <v/>
      </c>
      <c r="O70" s="599" t="str">
        <f>IF(ISNUMBER(VLOOKUP($B70,'G1'!$D$7:$M$74,5,0)),VLOOKUP($B70,'G1'!$D$7:$M$74,5,0),"")</f>
        <v/>
      </c>
      <c r="P70" s="599" t="str">
        <f>IF(ISNUMBER(VLOOKUP($B70,'G1'!$D$7:$M$74,6,0)),VLOOKUP($B70,'G1'!$D$7:$M$74,6,0),"")</f>
        <v/>
      </c>
      <c r="Q70" s="598" t="str">
        <f>IF(ISNUMBER(VLOOKUP($B70,'G2'!$D$7:$M$74,2,0)),VLOOKUP($B70,'G2'!$D$7:$M$74,2,0),"")</f>
        <v/>
      </c>
      <c r="R70" s="599" t="str">
        <f>IF(ISNUMBER(VLOOKUP($B70,'G2'!$D$7:$M$74,3,0)),VLOOKUP($B70,'G2'!$D$7:$M$74,3,0),"")</f>
        <v/>
      </c>
      <c r="S70" s="599" t="str">
        <f>IF(ISNUMBER(VLOOKUP($B70,'G2'!$D$7:$M$74,4,0)),VLOOKUP($B70,'G2'!$D$7:$M$74,4,0),"")</f>
        <v/>
      </c>
      <c r="T70" s="599" t="str">
        <f>IF(ISNUMBER(VLOOKUP($B70,'G2'!$D$7:$M$74,5,0)),VLOOKUP($B70,'G2'!$D$7:$M$74,5,0),"")</f>
        <v/>
      </c>
      <c r="U70" s="599" t="str">
        <f>IF(ISNUMBER(VLOOKUP($B70,'G2'!$D$7:$M$74,6,0)),VLOOKUP($B70,'G2'!$D$7:$M$74,6,0),"")</f>
        <v/>
      </c>
      <c r="V70" s="598" t="str">
        <f>IF(ISNUMBER(VLOOKUP($B70,'G3'!$D$7:$M$74,2,0)),VLOOKUP($B70,'G3'!$D$7:$M$74,2,0),"")</f>
        <v/>
      </c>
      <c r="W70" s="599" t="str">
        <f>IF(ISNUMBER(VLOOKUP($B70,'G3'!$D$7:$M$74,3,0)),VLOOKUP($B70,'G3'!$D$7:$M$74,3,0),"")</f>
        <v/>
      </c>
      <c r="X70" s="599" t="str">
        <f>IF(ISNUMBER(VLOOKUP($B70,'G3'!$D$7:$M$74,4,0)),VLOOKUP($B70,'G3'!$D$7:$M$74,4,0),"")</f>
        <v/>
      </c>
      <c r="Y70" s="599" t="str">
        <f>IF(ISNUMBER(VLOOKUP($B70,'G3'!$D$7:$M$74,5,0)),VLOOKUP($B70,'G3'!$D$7:$M$74,5,0),"")</f>
        <v/>
      </c>
      <c r="Z70" s="599" t="str">
        <f>IF(ISNUMBER(VLOOKUP($B70,'G3'!$D$7:$M$74,6,0)),VLOOKUP($B70,'G3'!$D$7:$M$74,6,0),"")</f>
        <v/>
      </c>
      <c r="AA70" s="598" t="str">
        <f>IF(ISNUMBER(VLOOKUP($B70,#REF!,2,0)),VLOOKUP($B70,#REF!,2,0),"")</f>
        <v/>
      </c>
      <c r="AB70" s="599" t="str">
        <f>IF(ISNUMBER(VLOOKUP($B70,#REF!,3,0)),VLOOKUP($B70,#REF!,3,0),"")</f>
        <v/>
      </c>
      <c r="AC70" s="599" t="str">
        <f>IF(ISNUMBER(VLOOKUP($B70,#REF!,4,0)),VLOOKUP($B70,#REF!,4,0),"")</f>
        <v/>
      </c>
      <c r="AD70" s="599" t="str">
        <f>IF(ISNUMBER(VLOOKUP($B70,#REF!,5,0)),VLOOKUP($B70,#REF!,5,0),"")</f>
        <v/>
      </c>
      <c r="AE70" s="599" t="str">
        <f>IF(ISNUMBER(VLOOKUP($B70,#REF!,6,0)),VLOOKUP($B70,#REF!,6,0),"")</f>
        <v/>
      </c>
      <c r="AF70" s="598" t="str">
        <f>IF(ISNUMBER(VLOOKUP($B70,#REF!,2,0)),VLOOKUP($B70,#REF!,2,0),"")</f>
        <v/>
      </c>
      <c r="AG70" s="599" t="str">
        <f>IF(ISNUMBER(VLOOKUP($B70,#REF!,3,0)),VLOOKUP($B70,#REF!,3,0),"")</f>
        <v/>
      </c>
      <c r="AH70" s="599" t="str">
        <f>IF(ISNUMBER(VLOOKUP($B70,#REF!,4,0)),VLOOKUP($B70,#REF!,4,0),"")</f>
        <v/>
      </c>
      <c r="AI70" s="599" t="str">
        <f>IF(ISNUMBER(VLOOKUP($B70,#REF!,5,0)),VLOOKUP($B70,#REF!,5,0),"")</f>
        <v/>
      </c>
      <c r="AJ70" s="599" t="str">
        <f>IF(ISNUMBER(VLOOKUP($B70,#REF!,6,0)),VLOOKUP($B70,#REF!,6,0),"")</f>
        <v/>
      </c>
      <c r="AK70" s="599" t="e">
        <f>VLOOKUP($B70,Skörd!$D$5:$M$72,7,0)</f>
        <v>#N/A</v>
      </c>
    </row>
    <row r="71" spans="2:37" hidden="1" x14ac:dyDescent="0.2">
      <c r="B71" s="596" t="s">
        <v>1083</v>
      </c>
      <c r="C71" s="598" t="str">
        <f>IF(ISNUMBER(VLOOKUP($B71,'F1'!$D$6:$G$73,2,0)),VLOOKUP($B71,'F1'!$D$6:$G$73,2,0),"")</f>
        <v/>
      </c>
      <c r="D71" s="599" t="str">
        <f>IF(ISNUMBER(VLOOKUP($B71,'F1'!$D$6:$G$73,3,0)),VLOOKUP($B71,'F1'!$D$6:$G$73,3,0),"")</f>
        <v/>
      </c>
      <c r="E71" s="599" t="str">
        <f>IF(ISNUMBER(VLOOKUP($B71,'F1'!$D$6:$G$73,4,0)),VLOOKUP($B71,'F1'!$D$6:$G$73,4,0),"")</f>
        <v/>
      </c>
      <c r="F71" s="598" t="str">
        <f>IF(ISNUMBER(VLOOKUP($B71,'F2'!$D$6:$G$73,2,0)),VLOOKUP($B71,'F2'!$D$6:$G$73,2,0),"")</f>
        <v/>
      </c>
      <c r="G71" s="599" t="str">
        <f>IF(ISNUMBER(VLOOKUP($B71,'F2'!$D$6:$G$73,3,0)),VLOOKUP($B71,'F2'!$D$6:$G$73,3,0),"")</f>
        <v/>
      </c>
      <c r="H71" s="599" t="str">
        <f>IF(ISNUMBER(VLOOKUP($B71,'F2'!$D$6:$G$73,4,0)),VLOOKUP($B71,'F2'!$D$6:$G$73,4,0),"")</f>
        <v/>
      </c>
      <c r="I71" s="598" t="str">
        <f>IF(ISNUMBER(VLOOKUP($B71,#REF!,2,0)),VLOOKUP($B71,#REF!,2,0),"")</f>
        <v/>
      </c>
      <c r="J71" s="599" t="str">
        <f>IF(ISNUMBER(VLOOKUP($B71,#REF!,3,0)),VLOOKUP($B71,#REF!,3,0),"")</f>
        <v/>
      </c>
      <c r="K71" s="599" t="str">
        <f>IF(ISNUMBER(VLOOKUP($B71,#REF!,4,0)),VLOOKUP($B71,#REF!,4,0),"")</f>
        <v/>
      </c>
      <c r="L71" s="598" t="str">
        <f>IF(ISNUMBER(VLOOKUP($B71,'G1'!$D$7:$M$74,2,0)),VLOOKUP($B71,'G1'!$D$7:$M$74,2,0),"")</f>
        <v/>
      </c>
      <c r="M71" s="599" t="str">
        <f>IF(ISNUMBER(VLOOKUP($B71,'G1'!$D$7:$M$74,3,0)),VLOOKUP($B71,'G1'!$D$7:$M$74,3,0),"")</f>
        <v/>
      </c>
      <c r="N71" s="599" t="str">
        <f>IF(ISNUMBER(VLOOKUP($B71,'G1'!$D$7:$M$74,4,0)),VLOOKUP($B71,'G1'!$D$7:$M$74,4,0),"")</f>
        <v/>
      </c>
      <c r="O71" s="599" t="str">
        <f>IF(ISNUMBER(VLOOKUP($B71,'G1'!$D$7:$M$74,5,0)),VLOOKUP($B71,'G1'!$D$7:$M$74,5,0),"")</f>
        <v/>
      </c>
      <c r="P71" s="599" t="str">
        <f>IF(ISNUMBER(VLOOKUP($B71,'G1'!$D$7:$M$74,6,0)),VLOOKUP($B71,'G1'!$D$7:$M$74,6,0),"")</f>
        <v/>
      </c>
      <c r="Q71" s="598" t="str">
        <f>IF(ISNUMBER(VLOOKUP($B71,'G2'!$D$7:$M$74,2,0)),VLOOKUP($B71,'G2'!$D$7:$M$74,2,0),"")</f>
        <v/>
      </c>
      <c r="R71" s="599" t="str">
        <f>IF(ISNUMBER(VLOOKUP($B71,'G2'!$D$7:$M$74,3,0)),VLOOKUP($B71,'G2'!$D$7:$M$74,3,0),"")</f>
        <v/>
      </c>
      <c r="S71" s="599" t="str">
        <f>IF(ISNUMBER(VLOOKUP($B71,'G2'!$D$7:$M$74,4,0)),VLOOKUP($B71,'G2'!$D$7:$M$74,4,0),"")</f>
        <v/>
      </c>
      <c r="T71" s="599" t="str">
        <f>IF(ISNUMBER(VLOOKUP($B71,'G2'!$D$7:$M$74,5,0)),VLOOKUP($B71,'G2'!$D$7:$M$74,5,0),"")</f>
        <v/>
      </c>
      <c r="U71" s="599" t="str">
        <f>IF(ISNUMBER(VLOOKUP($B71,'G2'!$D$7:$M$74,6,0)),VLOOKUP($B71,'G2'!$D$7:$M$74,6,0),"")</f>
        <v/>
      </c>
      <c r="V71" s="598" t="str">
        <f>IF(ISNUMBER(VLOOKUP($B71,'G3'!$D$7:$M$74,2,0)),VLOOKUP($B71,'G3'!$D$7:$M$74,2,0),"")</f>
        <v/>
      </c>
      <c r="W71" s="599" t="str">
        <f>IF(ISNUMBER(VLOOKUP($B71,'G3'!$D$7:$M$74,3,0)),VLOOKUP($B71,'G3'!$D$7:$M$74,3,0),"")</f>
        <v/>
      </c>
      <c r="X71" s="599" t="str">
        <f>IF(ISNUMBER(VLOOKUP($B71,'G3'!$D$7:$M$74,4,0)),VLOOKUP($B71,'G3'!$D$7:$M$74,4,0),"")</f>
        <v/>
      </c>
      <c r="Y71" s="599" t="str">
        <f>IF(ISNUMBER(VLOOKUP($B71,'G3'!$D$7:$M$74,5,0)),VLOOKUP($B71,'G3'!$D$7:$M$74,5,0),"")</f>
        <v/>
      </c>
      <c r="Z71" s="599" t="str">
        <f>IF(ISNUMBER(VLOOKUP($B71,'G3'!$D$7:$M$74,6,0)),VLOOKUP($B71,'G3'!$D$7:$M$74,6,0),"")</f>
        <v/>
      </c>
      <c r="AA71" s="598" t="str">
        <f>IF(ISNUMBER(VLOOKUP($B71,#REF!,2,0)),VLOOKUP($B71,#REF!,2,0),"")</f>
        <v/>
      </c>
      <c r="AB71" s="599" t="str">
        <f>IF(ISNUMBER(VLOOKUP($B71,#REF!,3,0)),VLOOKUP($B71,#REF!,3,0),"")</f>
        <v/>
      </c>
      <c r="AC71" s="599" t="str">
        <f>IF(ISNUMBER(VLOOKUP($B71,#REF!,4,0)),VLOOKUP($B71,#REF!,4,0),"")</f>
        <v/>
      </c>
      <c r="AD71" s="599" t="str">
        <f>IF(ISNUMBER(VLOOKUP($B71,#REF!,5,0)),VLOOKUP($B71,#REF!,5,0),"")</f>
        <v/>
      </c>
      <c r="AE71" s="599" t="str">
        <f>IF(ISNUMBER(VLOOKUP($B71,#REF!,6,0)),VLOOKUP($B71,#REF!,6,0),"")</f>
        <v/>
      </c>
      <c r="AF71" s="598" t="str">
        <f>IF(ISNUMBER(VLOOKUP($B71,#REF!,2,0)),VLOOKUP($B71,#REF!,2,0),"")</f>
        <v/>
      </c>
      <c r="AG71" s="599" t="str">
        <f>IF(ISNUMBER(VLOOKUP($B71,#REF!,3,0)),VLOOKUP($B71,#REF!,3,0),"")</f>
        <v/>
      </c>
      <c r="AH71" s="599" t="str">
        <f>IF(ISNUMBER(VLOOKUP($B71,#REF!,4,0)),VLOOKUP($B71,#REF!,4,0),"")</f>
        <v/>
      </c>
      <c r="AI71" s="599" t="str">
        <f>IF(ISNUMBER(VLOOKUP($B71,#REF!,5,0)),VLOOKUP($B71,#REF!,5,0),"")</f>
        <v/>
      </c>
      <c r="AJ71" s="599" t="str">
        <f>IF(ISNUMBER(VLOOKUP($B71,#REF!,6,0)),VLOOKUP($B71,#REF!,6,0),"")</f>
        <v/>
      </c>
      <c r="AK71" s="599" t="e">
        <f>VLOOKUP($B71,Skörd!$D$5:$M$72,7,0)</f>
        <v>#N/A</v>
      </c>
    </row>
    <row r="72" spans="2:37" hidden="1" x14ac:dyDescent="0.2">
      <c r="B72" s="596" t="s">
        <v>1084</v>
      </c>
      <c r="C72" s="598" t="str">
        <f>IF(ISNUMBER(VLOOKUP($B72,'F1'!$D$6:$G$73,2,0)),VLOOKUP($B72,'F1'!$D$6:$G$73,2,0),"")</f>
        <v/>
      </c>
      <c r="D72" s="599" t="str">
        <f>IF(ISNUMBER(VLOOKUP($B72,'F1'!$D$6:$G$73,3,0)),VLOOKUP($B72,'F1'!$D$6:$G$73,3,0),"")</f>
        <v/>
      </c>
      <c r="E72" s="599" t="str">
        <f>IF(ISNUMBER(VLOOKUP($B72,'F1'!$D$6:$G$73,4,0)),VLOOKUP($B72,'F1'!$D$6:$G$73,4,0),"")</f>
        <v/>
      </c>
      <c r="F72" s="598" t="str">
        <f>IF(ISNUMBER(VLOOKUP($B72,'F2'!$D$6:$G$73,2,0)),VLOOKUP($B72,'F2'!$D$6:$G$73,2,0),"")</f>
        <v/>
      </c>
      <c r="G72" s="599" t="str">
        <f>IF(ISNUMBER(VLOOKUP($B72,'F2'!$D$6:$G$73,3,0)),VLOOKUP($B72,'F2'!$D$6:$G$73,3,0),"")</f>
        <v/>
      </c>
      <c r="H72" s="599" t="str">
        <f>IF(ISNUMBER(VLOOKUP($B72,'F2'!$D$6:$G$73,4,0)),VLOOKUP($B72,'F2'!$D$6:$G$73,4,0),"")</f>
        <v/>
      </c>
      <c r="I72" s="598" t="str">
        <f>IF(ISNUMBER(VLOOKUP($B72,#REF!,2,0)),VLOOKUP($B72,#REF!,2,0),"")</f>
        <v/>
      </c>
      <c r="J72" s="599" t="str">
        <f>IF(ISNUMBER(VLOOKUP($B72,#REF!,3,0)),VLOOKUP($B72,#REF!,3,0),"")</f>
        <v/>
      </c>
      <c r="K72" s="599" t="str">
        <f>IF(ISNUMBER(VLOOKUP($B72,#REF!,4,0)),VLOOKUP($B72,#REF!,4,0),"")</f>
        <v/>
      </c>
      <c r="L72" s="598" t="str">
        <f>IF(ISNUMBER(VLOOKUP($B72,'G1'!$D$7:$M$74,2,0)),VLOOKUP($B72,'G1'!$D$7:$M$74,2,0),"")</f>
        <v/>
      </c>
      <c r="M72" s="599" t="str">
        <f>IF(ISNUMBER(VLOOKUP($B72,'G1'!$D$7:$M$74,3,0)),VLOOKUP($B72,'G1'!$D$7:$M$74,3,0),"")</f>
        <v/>
      </c>
      <c r="N72" s="599" t="str">
        <f>IF(ISNUMBER(VLOOKUP($B72,'G1'!$D$7:$M$74,4,0)),VLOOKUP($B72,'G1'!$D$7:$M$74,4,0),"")</f>
        <v/>
      </c>
      <c r="O72" s="599" t="str">
        <f>IF(ISNUMBER(VLOOKUP($B72,'G1'!$D$7:$M$74,5,0)),VLOOKUP($B72,'G1'!$D$7:$M$74,5,0),"")</f>
        <v/>
      </c>
      <c r="P72" s="599" t="str">
        <f>IF(ISNUMBER(VLOOKUP($B72,'G1'!$D$7:$M$74,6,0)),VLOOKUP($B72,'G1'!$D$7:$M$74,6,0),"")</f>
        <v/>
      </c>
      <c r="Q72" s="598" t="str">
        <f>IF(ISNUMBER(VLOOKUP($B72,'G2'!$D$7:$M$74,2,0)),VLOOKUP($B72,'G2'!$D$7:$M$74,2,0),"")</f>
        <v/>
      </c>
      <c r="R72" s="599" t="str">
        <f>IF(ISNUMBER(VLOOKUP($B72,'G2'!$D$7:$M$74,3,0)),VLOOKUP($B72,'G2'!$D$7:$M$74,3,0),"")</f>
        <v/>
      </c>
      <c r="S72" s="599" t="str">
        <f>IF(ISNUMBER(VLOOKUP($B72,'G2'!$D$7:$M$74,4,0)),VLOOKUP($B72,'G2'!$D$7:$M$74,4,0),"")</f>
        <v/>
      </c>
      <c r="T72" s="599" t="str">
        <f>IF(ISNUMBER(VLOOKUP($B72,'G2'!$D$7:$M$74,5,0)),VLOOKUP($B72,'G2'!$D$7:$M$74,5,0),"")</f>
        <v/>
      </c>
      <c r="U72" s="599" t="str">
        <f>IF(ISNUMBER(VLOOKUP($B72,'G2'!$D$7:$M$74,6,0)),VLOOKUP($B72,'G2'!$D$7:$M$74,6,0),"")</f>
        <v/>
      </c>
      <c r="V72" s="598" t="str">
        <f>IF(ISNUMBER(VLOOKUP($B72,'G3'!$D$7:$M$74,2,0)),VLOOKUP($B72,'G3'!$D$7:$M$74,2,0),"")</f>
        <v/>
      </c>
      <c r="W72" s="599" t="str">
        <f>IF(ISNUMBER(VLOOKUP($B72,'G3'!$D$7:$M$74,3,0)),VLOOKUP($B72,'G3'!$D$7:$M$74,3,0),"")</f>
        <v/>
      </c>
      <c r="X72" s="599" t="str">
        <f>IF(ISNUMBER(VLOOKUP($B72,'G3'!$D$7:$M$74,4,0)),VLOOKUP($B72,'G3'!$D$7:$M$74,4,0),"")</f>
        <v/>
      </c>
      <c r="Y72" s="599" t="str">
        <f>IF(ISNUMBER(VLOOKUP($B72,'G3'!$D$7:$M$74,5,0)),VLOOKUP($B72,'G3'!$D$7:$M$74,5,0),"")</f>
        <v/>
      </c>
      <c r="Z72" s="599" t="str">
        <f>IF(ISNUMBER(VLOOKUP($B72,'G3'!$D$7:$M$74,6,0)),VLOOKUP($B72,'G3'!$D$7:$M$74,6,0),"")</f>
        <v/>
      </c>
      <c r="AA72" s="598" t="str">
        <f>IF(ISNUMBER(VLOOKUP($B72,#REF!,2,0)),VLOOKUP($B72,#REF!,2,0),"")</f>
        <v/>
      </c>
      <c r="AB72" s="599" t="str">
        <f>IF(ISNUMBER(VLOOKUP($B72,#REF!,3,0)),VLOOKUP($B72,#REF!,3,0),"")</f>
        <v/>
      </c>
      <c r="AC72" s="599" t="str">
        <f>IF(ISNUMBER(VLOOKUP($B72,#REF!,4,0)),VLOOKUP($B72,#REF!,4,0),"")</f>
        <v/>
      </c>
      <c r="AD72" s="599" t="str">
        <f>IF(ISNUMBER(VLOOKUP($B72,#REF!,5,0)),VLOOKUP($B72,#REF!,5,0),"")</f>
        <v/>
      </c>
      <c r="AE72" s="599" t="str">
        <f>IF(ISNUMBER(VLOOKUP($B72,#REF!,6,0)),VLOOKUP($B72,#REF!,6,0),"")</f>
        <v/>
      </c>
      <c r="AF72" s="598" t="str">
        <f>IF(ISNUMBER(VLOOKUP($B72,#REF!,2,0)),VLOOKUP($B72,#REF!,2,0),"")</f>
        <v/>
      </c>
      <c r="AG72" s="599" t="str">
        <f>IF(ISNUMBER(VLOOKUP($B72,#REF!,3,0)),VLOOKUP($B72,#REF!,3,0),"")</f>
        <v/>
      </c>
      <c r="AH72" s="599" t="str">
        <f>IF(ISNUMBER(VLOOKUP($B72,#REF!,4,0)),VLOOKUP($B72,#REF!,4,0),"")</f>
        <v/>
      </c>
      <c r="AI72" s="599" t="str">
        <f>IF(ISNUMBER(VLOOKUP($B72,#REF!,5,0)),VLOOKUP($B72,#REF!,5,0),"")</f>
        <v/>
      </c>
      <c r="AJ72" s="599" t="str">
        <f>IF(ISNUMBER(VLOOKUP($B72,#REF!,6,0)),VLOOKUP($B72,#REF!,6,0),"")</f>
        <v/>
      </c>
      <c r="AK72" s="599" t="e">
        <f>VLOOKUP($B72,Skörd!$D$5:$M$72,7,0)</f>
        <v>#N/A</v>
      </c>
    </row>
    <row r="73" spans="2:37" hidden="1" x14ac:dyDescent="0.2">
      <c r="B73" s="596" t="s">
        <v>1085</v>
      </c>
      <c r="C73" s="598" t="str">
        <f>IF(ISNUMBER(VLOOKUP($B73,'F1'!$D$6:$G$73,2,0)),VLOOKUP($B73,'F1'!$D$6:$G$73,2,0),"")</f>
        <v/>
      </c>
      <c r="D73" s="599" t="str">
        <f>IF(ISNUMBER(VLOOKUP($B73,'F1'!$D$6:$G$73,3,0)),VLOOKUP($B73,'F1'!$D$6:$G$73,3,0),"")</f>
        <v/>
      </c>
      <c r="E73" s="599" t="str">
        <f>IF(ISNUMBER(VLOOKUP($B73,'F1'!$D$6:$G$73,4,0)),VLOOKUP($B73,'F1'!$D$6:$G$73,4,0),"")</f>
        <v/>
      </c>
      <c r="F73" s="598" t="str">
        <f>IF(ISNUMBER(VLOOKUP($B73,'F2'!$D$6:$G$73,2,0)),VLOOKUP($B73,'F2'!$D$6:$G$73,2,0),"")</f>
        <v/>
      </c>
      <c r="G73" s="599" t="str">
        <f>IF(ISNUMBER(VLOOKUP($B73,'F2'!$D$6:$G$73,3,0)),VLOOKUP($B73,'F2'!$D$6:$G$73,3,0),"")</f>
        <v/>
      </c>
      <c r="H73" s="599" t="str">
        <f>IF(ISNUMBER(VLOOKUP($B73,'F2'!$D$6:$G$73,4,0)),VLOOKUP($B73,'F2'!$D$6:$G$73,4,0),"")</f>
        <v/>
      </c>
      <c r="I73" s="598" t="str">
        <f>IF(ISNUMBER(VLOOKUP($B73,#REF!,2,0)),VLOOKUP($B73,#REF!,2,0),"")</f>
        <v/>
      </c>
      <c r="J73" s="599" t="str">
        <f>IF(ISNUMBER(VLOOKUP($B73,#REF!,3,0)),VLOOKUP($B73,#REF!,3,0),"")</f>
        <v/>
      </c>
      <c r="K73" s="599" t="str">
        <f>IF(ISNUMBER(VLOOKUP($B73,#REF!,4,0)),VLOOKUP($B73,#REF!,4,0),"")</f>
        <v/>
      </c>
      <c r="L73" s="598" t="str">
        <f>IF(ISNUMBER(VLOOKUP($B73,'G1'!$D$7:$M$74,2,0)),VLOOKUP($B73,'G1'!$D$7:$M$74,2,0),"")</f>
        <v/>
      </c>
      <c r="M73" s="599" t="str">
        <f>IF(ISNUMBER(VLOOKUP($B73,'G1'!$D$7:$M$74,3,0)),VLOOKUP($B73,'G1'!$D$7:$M$74,3,0),"")</f>
        <v/>
      </c>
      <c r="N73" s="599" t="str">
        <f>IF(ISNUMBER(VLOOKUP($B73,'G1'!$D$7:$M$74,4,0)),VLOOKUP($B73,'G1'!$D$7:$M$74,4,0),"")</f>
        <v/>
      </c>
      <c r="O73" s="599" t="str">
        <f>IF(ISNUMBER(VLOOKUP($B73,'G1'!$D$7:$M$74,5,0)),VLOOKUP($B73,'G1'!$D$7:$M$74,5,0),"")</f>
        <v/>
      </c>
      <c r="P73" s="599" t="str">
        <f>IF(ISNUMBER(VLOOKUP($B73,'G1'!$D$7:$M$74,6,0)),VLOOKUP($B73,'G1'!$D$7:$M$74,6,0),"")</f>
        <v/>
      </c>
      <c r="Q73" s="598" t="str">
        <f>IF(ISNUMBER(VLOOKUP($B73,'G2'!$D$7:$M$74,2,0)),VLOOKUP($B73,'G2'!$D$7:$M$74,2,0),"")</f>
        <v/>
      </c>
      <c r="R73" s="599" t="str">
        <f>IF(ISNUMBER(VLOOKUP($B73,'G2'!$D$7:$M$74,3,0)),VLOOKUP($B73,'G2'!$D$7:$M$74,3,0),"")</f>
        <v/>
      </c>
      <c r="S73" s="599" t="str">
        <f>IF(ISNUMBER(VLOOKUP($B73,'G2'!$D$7:$M$74,4,0)),VLOOKUP($B73,'G2'!$D$7:$M$74,4,0),"")</f>
        <v/>
      </c>
      <c r="T73" s="599" t="str">
        <f>IF(ISNUMBER(VLOOKUP($B73,'G2'!$D$7:$M$74,5,0)),VLOOKUP($B73,'G2'!$D$7:$M$74,5,0),"")</f>
        <v/>
      </c>
      <c r="U73" s="599" t="str">
        <f>IF(ISNUMBER(VLOOKUP($B73,'G2'!$D$7:$M$74,6,0)),VLOOKUP($B73,'G2'!$D$7:$M$74,6,0),"")</f>
        <v/>
      </c>
      <c r="V73" s="598" t="str">
        <f>IF(ISNUMBER(VLOOKUP($B73,'G3'!$D$7:$M$74,2,0)),VLOOKUP($B73,'G3'!$D$7:$M$74,2,0),"")</f>
        <v/>
      </c>
      <c r="W73" s="599" t="str">
        <f>IF(ISNUMBER(VLOOKUP($B73,'G3'!$D$7:$M$74,3,0)),VLOOKUP($B73,'G3'!$D$7:$M$74,3,0),"")</f>
        <v/>
      </c>
      <c r="X73" s="599" t="str">
        <f>IF(ISNUMBER(VLOOKUP($B73,'G3'!$D$7:$M$74,4,0)),VLOOKUP($B73,'G3'!$D$7:$M$74,4,0),"")</f>
        <v/>
      </c>
      <c r="Y73" s="599" t="str">
        <f>IF(ISNUMBER(VLOOKUP($B73,'G3'!$D$7:$M$74,5,0)),VLOOKUP($B73,'G3'!$D$7:$M$74,5,0),"")</f>
        <v/>
      </c>
      <c r="Z73" s="599" t="str">
        <f>IF(ISNUMBER(VLOOKUP($B73,'G3'!$D$7:$M$74,6,0)),VLOOKUP($B73,'G3'!$D$7:$M$74,6,0),"")</f>
        <v/>
      </c>
      <c r="AA73" s="598" t="str">
        <f>IF(ISNUMBER(VLOOKUP($B73,#REF!,2,0)),VLOOKUP($B73,#REF!,2,0),"")</f>
        <v/>
      </c>
      <c r="AB73" s="599" t="str">
        <f>IF(ISNUMBER(VLOOKUP($B73,#REF!,3,0)),VLOOKUP($B73,#REF!,3,0),"")</f>
        <v/>
      </c>
      <c r="AC73" s="599" t="str">
        <f>IF(ISNUMBER(VLOOKUP($B73,#REF!,4,0)),VLOOKUP($B73,#REF!,4,0),"")</f>
        <v/>
      </c>
      <c r="AD73" s="599" t="str">
        <f>IF(ISNUMBER(VLOOKUP($B73,#REF!,5,0)),VLOOKUP($B73,#REF!,5,0),"")</f>
        <v/>
      </c>
      <c r="AE73" s="599" t="str">
        <f>IF(ISNUMBER(VLOOKUP($B73,#REF!,6,0)),VLOOKUP($B73,#REF!,6,0),"")</f>
        <v/>
      </c>
      <c r="AF73" s="598" t="str">
        <f>IF(ISNUMBER(VLOOKUP($B73,#REF!,2,0)),VLOOKUP($B73,#REF!,2,0),"")</f>
        <v/>
      </c>
      <c r="AG73" s="599" t="str">
        <f>IF(ISNUMBER(VLOOKUP($B73,#REF!,3,0)),VLOOKUP($B73,#REF!,3,0),"")</f>
        <v/>
      </c>
      <c r="AH73" s="599" t="str">
        <f>IF(ISNUMBER(VLOOKUP($B73,#REF!,4,0)),VLOOKUP($B73,#REF!,4,0),"")</f>
        <v/>
      </c>
      <c r="AI73" s="599" t="str">
        <f>IF(ISNUMBER(VLOOKUP($B73,#REF!,5,0)),VLOOKUP($B73,#REF!,5,0),"")</f>
        <v/>
      </c>
      <c r="AJ73" s="599" t="str">
        <f>IF(ISNUMBER(VLOOKUP($B73,#REF!,6,0)),VLOOKUP($B73,#REF!,6,0),"")</f>
        <v/>
      </c>
      <c r="AK73" s="599" t="e">
        <f>VLOOKUP($B73,Skörd!$D$5:$M$72,7,0)</f>
        <v>#N/A</v>
      </c>
    </row>
    <row r="74" spans="2:37" hidden="1" x14ac:dyDescent="0.2">
      <c r="B74" s="596" t="s">
        <v>1086</v>
      </c>
      <c r="C74" s="598" t="str">
        <f>IF(ISNUMBER(VLOOKUP($B74,'F1'!$D$6:$G$73,2,0)),VLOOKUP($B74,'F1'!$D$6:$G$73,2,0),"")</f>
        <v/>
      </c>
      <c r="D74" s="599" t="str">
        <f>IF(ISNUMBER(VLOOKUP($B74,'F1'!$D$6:$G$73,3,0)),VLOOKUP($B74,'F1'!$D$6:$G$73,3,0),"")</f>
        <v/>
      </c>
      <c r="E74" s="599" t="str">
        <f>IF(ISNUMBER(VLOOKUP($B74,'F1'!$D$6:$G$73,4,0)),VLOOKUP($B74,'F1'!$D$6:$G$73,4,0),"")</f>
        <v/>
      </c>
      <c r="F74" s="598" t="str">
        <f>IF(ISNUMBER(VLOOKUP($B74,'F2'!$D$6:$G$73,2,0)),VLOOKUP($B74,'F2'!$D$6:$G$73,2,0),"")</f>
        <v/>
      </c>
      <c r="G74" s="599" t="str">
        <f>IF(ISNUMBER(VLOOKUP($B74,'F2'!$D$6:$G$73,3,0)),VLOOKUP($B74,'F2'!$D$6:$G$73,3,0),"")</f>
        <v/>
      </c>
      <c r="H74" s="599" t="str">
        <f>IF(ISNUMBER(VLOOKUP($B74,'F2'!$D$6:$G$73,4,0)),VLOOKUP($B74,'F2'!$D$6:$G$73,4,0),"")</f>
        <v/>
      </c>
      <c r="I74" s="598" t="str">
        <f>IF(ISNUMBER(VLOOKUP($B74,#REF!,2,0)),VLOOKUP($B74,#REF!,2,0),"")</f>
        <v/>
      </c>
      <c r="J74" s="599" t="str">
        <f>IF(ISNUMBER(VLOOKUP($B74,#REF!,3,0)),VLOOKUP($B74,#REF!,3,0),"")</f>
        <v/>
      </c>
      <c r="K74" s="599" t="str">
        <f>IF(ISNUMBER(VLOOKUP($B74,#REF!,4,0)),VLOOKUP($B74,#REF!,4,0),"")</f>
        <v/>
      </c>
      <c r="L74" s="598" t="str">
        <f>IF(ISNUMBER(VLOOKUP($B74,'G1'!$D$7:$M$74,2,0)),VLOOKUP($B74,'G1'!$D$7:$M$74,2,0),"")</f>
        <v/>
      </c>
      <c r="M74" s="599" t="str">
        <f>IF(ISNUMBER(VLOOKUP($B74,'G1'!$D$7:$M$74,3,0)),VLOOKUP($B74,'G1'!$D$7:$M$74,3,0),"")</f>
        <v/>
      </c>
      <c r="N74" s="599" t="str">
        <f>IF(ISNUMBER(VLOOKUP($B74,'G1'!$D$7:$M$74,4,0)),VLOOKUP($B74,'G1'!$D$7:$M$74,4,0),"")</f>
        <v/>
      </c>
      <c r="O74" s="599" t="str">
        <f>IF(ISNUMBER(VLOOKUP($B74,'G1'!$D$7:$M$74,5,0)),VLOOKUP($B74,'G1'!$D$7:$M$74,5,0),"")</f>
        <v/>
      </c>
      <c r="P74" s="599" t="str">
        <f>IF(ISNUMBER(VLOOKUP($B74,'G1'!$D$7:$M$74,6,0)),VLOOKUP($B74,'G1'!$D$7:$M$74,6,0),"")</f>
        <v/>
      </c>
      <c r="Q74" s="598" t="str">
        <f>IF(ISNUMBER(VLOOKUP($B74,'G2'!$D$7:$M$74,2,0)),VLOOKUP($B74,'G2'!$D$7:$M$74,2,0),"")</f>
        <v/>
      </c>
      <c r="R74" s="599" t="str">
        <f>IF(ISNUMBER(VLOOKUP($B74,'G2'!$D$7:$M$74,3,0)),VLOOKUP($B74,'G2'!$D$7:$M$74,3,0),"")</f>
        <v/>
      </c>
      <c r="S74" s="599" t="str">
        <f>IF(ISNUMBER(VLOOKUP($B74,'G2'!$D$7:$M$74,4,0)),VLOOKUP($B74,'G2'!$D$7:$M$74,4,0),"")</f>
        <v/>
      </c>
      <c r="T74" s="599" t="str">
        <f>IF(ISNUMBER(VLOOKUP($B74,'G2'!$D$7:$M$74,5,0)),VLOOKUP($B74,'G2'!$D$7:$M$74,5,0),"")</f>
        <v/>
      </c>
      <c r="U74" s="599" t="str">
        <f>IF(ISNUMBER(VLOOKUP($B74,'G2'!$D$7:$M$74,6,0)),VLOOKUP($B74,'G2'!$D$7:$M$74,6,0),"")</f>
        <v/>
      </c>
      <c r="V74" s="598" t="str">
        <f>IF(ISNUMBER(VLOOKUP($B74,'G3'!$D$7:$M$74,2,0)),VLOOKUP($B74,'G3'!$D$7:$M$74,2,0),"")</f>
        <v/>
      </c>
      <c r="W74" s="599" t="str">
        <f>IF(ISNUMBER(VLOOKUP($B74,'G3'!$D$7:$M$74,3,0)),VLOOKUP($B74,'G3'!$D$7:$M$74,3,0),"")</f>
        <v/>
      </c>
      <c r="X74" s="599" t="str">
        <f>IF(ISNUMBER(VLOOKUP($B74,'G3'!$D$7:$M$74,4,0)),VLOOKUP($B74,'G3'!$D$7:$M$74,4,0),"")</f>
        <v/>
      </c>
      <c r="Y74" s="599" t="str">
        <f>IF(ISNUMBER(VLOOKUP($B74,'G3'!$D$7:$M$74,5,0)),VLOOKUP($B74,'G3'!$D$7:$M$74,5,0),"")</f>
        <v/>
      </c>
      <c r="Z74" s="599" t="str">
        <f>IF(ISNUMBER(VLOOKUP($B74,'G3'!$D$7:$M$74,6,0)),VLOOKUP($B74,'G3'!$D$7:$M$74,6,0),"")</f>
        <v/>
      </c>
      <c r="AA74" s="598" t="str">
        <f>IF(ISNUMBER(VLOOKUP($B74,#REF!,2,0)),VLOOKUP($B74,#REF!,2,0),"")</f>
        <v/>
      </c>
      <c r="AB74" s="599" t="str">
        <f>IF(ISNUMBER(VLOOKUP($B74,#REF!,3,0)),VLOOKUP($B74,#REF!,3,0),"")</f>
        <v/>
      </c>
      <c r="AC74" s="599" t="str">
        <f>IF(ISNUMBER(VLOOKUP($B74,#REF!,4,0)),VLOOKUP($B74,#REF!,4,0),"")</f>
        <v/>
      </c>
      <c r="AD74" s="599" t="str">
        <f>IF(ISNUMBER(VLOOKUP($B74,#REF!,5,0)),VLOOKUP($B74,#REF!,5,0),"")</f>
        <v/>
      </c>
      <c r="AE74" s="599" t="str">
        <f>IF(ISNUMBER(VLOOKUP($B74,#REF!,6,0)),VLOOKUP($B74,#REF!,6,0),"")</f>
        <v/>
      </c>
      <c r="AF74" s="598" t="str">
        <f>IF(ISNUMBER(VLOOKUP($B74,#REF!,2,0)),VLOOKUP($B74,#REF!,2,0),"")</f>
        <v/>
      </c>
      <c r="AG74" s="599" t="str">
        <f>IF(ISNUMBER(VLOOKUP($B74,#REF!,3,0)),VLOOKUP($B74,#REF!,3,0),"")</f>
        <v/>
      </c>
      <c r="AH74" s="599" t="str">
        <f>IF(ISNUMBER(VLOOKUP($B74,#REF!,4,0)),VLOOKUP($B74,#REF!,4,0),"")</f>
        <v/>
      </c>
      <c r="AI74" s="599" t="str">
        <f>IF(ISNUMBER(VLOOKUP($B74,#REF!,5,0)),VLOOKUP($B74,#REF!,5,0),"")</f>
        <v/>
      </c>
      <c r="AJ74" s="599" t="str">
        <f>IF(ISNUMBER(VLOOKUP($B74,#REF!,6,0)),VLOOKUP($B74,#REF!,6,0),"")</f>
        <v/>
      </c>
      <c r="AK74" s="599" t="e">
        <f>VLOOKUP($B74,Skörd!$D$5:$M$72,7,0)</f>
        <v>#N/A</v>
      </c>
    </row>
    <row r="75" spans="2:37" hidden="1" x14ac:dyDescent="0.2">
      <c r="B75" s="596" t="s">
        <v>1087</v>
      </c>
      <c r="C75" s="598" t="str">
        <f>IF(ISNUMBER(VLOOKUP($B75,'F1'!$D$6:$G$73,2,0)),VLOOKUP($B75,'F1'!$D$6:$G$73,2,0),"")</f>
        <v/>
      </c>
      <c r="D75" s="599" t="str">
        <f>IF(ISNUMBER(VLOOKUP($B75,'F1'!$D$6:$G$73,3,0)),VLOOKUP($B75,'F1'!$D$6:$G$73,3,0),"")</f>
        <v/>
      </c>
      <c r="E75" s="599" t="str">
        <f>IF(ISNUMBER(VLOOKUP($B75,'F1'!$D$6:$G$73,4,0)),VLOOKUP($B75,'F1'!$D$6:$G$73,4,0),"")</f>
        <v/>
      </c>
      <c r="F75" s="598" t="str">
        <f>IF(ISNUMBER(VLOOKUP($B75,'F2'!$D$6:$G$73,2,0)),VLOOKUP($B75,'F2'!$D$6:$G$73,2,0),"")</f>
        <v/>
      </c>
      <c r="G75" s="599" t="str">
        <f>IF(ISNUMBER(VLOOKUP($B75,'F2'!$D$6:$G$73,3,0)),VLOOKUP($B75,'F2'!$D$6:$G$73,3,0),"")</f>
        <v/>
      </c>
      <c r="H75" s="599" t="str">
        <f>IF(ISNUMBER(VLOOKUP($B75,'F2'!$D$6:$G$73,4,0)),VLOOKUP($B75,'F2'!$D$6:$G$73,4,0),"")</f>
        <v/>
      </c>
      <c r="I75" s="598" t="str">
        <f>IF(ISNUMBER(VLOOKUP($B75,#REF!,2,0)),VLOOKUP($B75,#REF!,2,0),"")</f>
        <v/>
      </c>
      <c r="J75" s="599" t="str">
        <f>IF(ISNUMBER(VLOOKUP($B75,#REF!,3,0)),VLOOKUP($B75,#REF!,3,0),"")</f>
        <v/>
      </c>
      <c r="K75" s="599" t="str">
        <f>IF(ISNUMBER(VLOOKUP($B75,#REF!,4,0)),VLOOKUP($B75,#REF!,4,0),"")</f>
        <v/>
      </c>
      <c r="L75" s="598" t="str">
        <f>IF(ISNUMBER(VLOOKUP($B75,'G1'!$D$7:$M$74,2,0)),VLOOKUP($B75,'G1'!$D$7:$M$74,2,0),"")</f>
        <v/>
      </c>
      <c r="M75" s="599" t="str">
        <f>IF(ISNUMBER(VLOOKUP($B75,'G1'!$D$7:$M$74,3,0)),VLOOKUP($B75,'G1'!$D$7:$M$74,3,0),"")</f>
        <v/>
      </c>
      <c r="N75" s="599" t="str">
        <f>IF(ISNUMBER(VLOOKUP($B75,'G1'!$D$7:$M$74,4,0)),VLOOKUP($B75,'G1'!$D$7:$M$74,4,0),"")</f>
        <v/>
      </c>
      <c r="O75" s="599" t="str">
        <f>IF(ISNUMBER(VLOOKUP($B75,'G1'!$D$7:$M$74,5,0)),VLOOKUP($B75,'G1'!$D$7:$M$74,5,0),"")</f>
        <v/>
      </c>
      <c r="P75" s="599" t="str">
        <f>IF(ISNUMBER(VLOOKUP($B75,'G1'!$D$7:$M$74,6,0)),VLOOKUP($B75,'G1'!$D$7:$M$74,6,0),"")</f>
        <v/>
      </c>
      <c r="Q75" s="598" t="str">
        <f>IF(ISNUMBER(VLOOKUP($B75,'G2'!$D$7:$M$74,2,0)),VLOOKUP($B75,'G2'!$D$7:$M$74,2,0),"")</f>
        <v/>
      </c>
      <c r="R75" s="599" t="str">
        <f>IF(ISNUMBER(VLOOKUP($B75,'G2'!$D$7:$M$74,3,0)),VLOOKUP($B75,'G2'!$D$7:$M$74,3,0),"")</f>
        <v/>
      </c>
      <c r="S75" s="599" t="str">
        <f>IF(ISNUMBER(VLOOKUP($B75,'G2'!$D$7:$M$74,4,0)),VLOOKUP($B75,'G2'!$D$7:$M$74,4,0),"")</f>
        <v/>
      </c>
      <c r="T75" s="599" t="str">
        <f>IF(ISNUMBER(VLOOKUP($B75,'G2'!$D$7:$M$74,5,0)),VLOOKUP($B75,'G2'!$D$7:$M$74,5,0),"")</f>
        <v/>
      </c>
      <c r="U75" s="599" t="str">
        <f>IF(ISNUMBER(VLOOKUP($B75,'G2'!$D$7:$M$74,6,0)),VLOOKUP($B75,'G2'!$D$7:$M$74,6,0),"")</f>
        <v/>
      </c>
      <c r="V75" s="598" t="str">
        <f>IF(ISNUMBER(VLOOKUP($B75,'G3'!$D$7:$M$74,2,0)),VLOOKUP($B75,'G3'!$D$7:$M$74,2,0),"")</f>
        <v/>
      </c>
      <c r="W75" s="599" t="str">
        <f>IF(ISNUMBER(VLOOKUP($B75,'G3'!$D$7:$M$74,3,0)),VLOOKUP($B75,'G3'!$D$7:$M$74,3,0),"")</f>
        <v/>
      </c>
      <c r="X75" s="599" t="str">
        <f>IF(ISNUMBER(VLOOKUP($B75,'G3'!$D$7:$M$74,4,0)),VLOOKUP($B75,'G3'!$D$7:$M$74,4,0),"")</f>
        <v/>
      </c>
      <c r="Y75" s="599" t="str">
        <f>IF(ISNUMBER(VLOOKUP($B75,'G3'!$D$7:$M$74,5,0)),VLOOKUP($B75,'G3'!$D$7:$M$74,5,0),"")</f>
        <v/>
      </c>
      <c r="Z75" s="599" t="str">
        <f>IF(ISNUMBER(VLOOKUP($B75,'G3'!$D$7:$M$74,6,0)),VLOOKUP($B75,'G3'!$D$7:$M$74,6,0),"")</f>
        <v/>
      </c>
      <c r="AA75" s="598" t="str">
        <f>IF(ISNUMBER(VLOOKUP($B75,#REF!,2,0)),VLOOKUP($B75,#REF!,2,0),"")</f>
        <v/>
      </c>
      <c r="AB75" s="599" t="str">
        <f>IF(ISNUMBER(VLOOKUP($B75,#REF!,3,0)),VLOOKUP($B75,#REF!,3,0),"")</f>
        <v/>
      </c>
      <c r="AC75" s="599" t="str">
        <f>IF(ISNUMBER(VLOOKUP($B75,#REF!,4,0)),VLOOKUP($B75,#REF!,4,0),"")</f>
        <v/>
      </c>
      <c r="AD75" s="599" t="str">
        <f>IF(ISNUMBER(VLOOKUP($B75,#REF!,5,0)),VLOOKUP($B75,#REF!,5,0),"")</f>
        <v/>
      </c>
      <c r="AE75" s="599" t="str">
        <f>IF(ISNUMBER(VLOOKUP($B75,#REF!,6,0)),VLOOKUP($B75,#REF!,6,0),"")</f>
        <v/>
      </c>
      <c r="AF75" s="598" t="str">
        <f>IF(ISNUMBER(VLOOKUP($B75,#REF!,2,0)),VLOOKUP($B75,#REF!,2,0),"")</f>
        <v/>
      </c>
      <c r="AG75" s="599" t="str">
        <f>IF(ISNUMBER(VLOOKUP($B75,#REF!,3,0)),VLOOKUP($B75,#REF!,3,0),"")</f>
        <v/>
      </c>
      <c r="AH75" s="599" t="str">
        <f>IF(ISNUMBER(VLOOKUP($B75,#REF!,4,0)),VLOOKUP($B75,#REF!,4,0),"")</f>
        <v/>
      </c>
      <c r="AI75" s="599" t="str">
        <f>IF(ISNUMBER(VLOOKUP($B75,#REF!,5,0)),VLOOKUP($B75,#REF!,5,0),"")</f>
        <v/>
      </c>
      <c r="AJ75" s="599" t="str">
        <f>IF(ISNUMBER(VLOOKUP($B75,#REF!,6,0)),VLOOKUP($B75,#REF!,6,0),"")</f>
        <v/>
      </c>
      <c r="AK75" s="599" t="e">
        <f>VLOOKUP($B75,Skörd!$D$5:$M$72,7,0)</f>
        <v>#N/A</v>
      </c>
    </row>
    <row r="76" spans="2:37" hidden="1" x14ac:dyDescent="0.2">
      <c r="B76" s="596" t="s">
        <v>1088</v>
      </c>
      <c r="C76" s="598" t="str">
        <f>IF(ISNUMBER(VLOOKUP($B76,'F1'!$D$6:$G$73,2,0)),VLOOKUP($B76,'F1'!$D$6:$G$73,2,0),"")</f>
        <v/>
      </c>
      <c r="D76" s="599" t="str">
        <f>IF(ISNUMBER(VLOOKUP($B76,'F1'!$D$6:$G$73,3,0)),VLOOKUP($B76,'F1'!$D$6:$G$73,3,0),"")</f>
        <v/>
      </c>
      <c r="E76" s="599" t="str">
        <f>IF(ISNUMBER(VLOOKUP($B76,'F1'!$D$6:$G$73,4,0)),VLOOKUP($B76,'F1'!$D$6:$G$73,4,0),"")</f>
        <v/>
      </c>
      <c r="F76" s="598" t="str">
        <f>IF(ISNUMBER(VLOOKUP($B76,'F2'!$D$6:$G$73,2,0)),VLOOKUP($B76,'F2'!$D$6:$G$73,2,0),"")</f>
        <v/>
      </c>
      <c r="G76" s="599" t="str">
        <f>IF(ISNUMBER(VLOOKUP($B76,'F2'!$D$6:$G$73,3,0)),VLOOKUP($B76,'F2'!$D$6:$G$73,3,0),"")</f>
        <v/>
      </c>
      <c r="H76" s="599" t="str">
        <f>IF(ISNUMBER(VLOOKUP($B76,'F2'!$D$6:$G$73,4,0)),VLOOKUP($B76,'F2'!$D$6:$G$73,4,0),"")</f>
        <v/>
      </c>
      <c r="I76" s="598" t="str">
        <f>IF(ISNUMBER(VLOOKUP($B76,#REF!,2,0)),VLOOKUP($B76,#REF!,2,0),"")</f>
        <v/>
      </c>
      <c r="J76" s="599" t="str">
        <f>IF(ISNUMBER(VLOOKUP($B76,#REF!,3,0)),VLOOKUP($B76,#REF!,3,0),"")</f>
        <v/>
      </c>
      <c r="K76" s="599" t="str">
        <f>IF(ISNUMBER(VLOOKUP($B76,#REF!,4,0)),VLOOKUP($B76,#REF!,4,0),"")</f>
        <v/>
      </c>
      <c r="L76" s="598" t="str">
        <f>IF(ISNUMBER(VLOOKUP($B76,'G1'!$D$7:$M$74,2,0)),VLOOKUP($B76,'G1'!$D$7:$M$74,2,0),"")</f>
        <v/>
      </c>
      <c r="M76" s="599" t="str">
        <f>IF(ISNUMBER(VLOOKUP($B76,'G1'!$D$7:$M$74,3,0)),VLOOKUP($B76,'G1'!$D$7:$M$74,3,0),"")</f>
        <v/>
      </c>
      <c r="N76" s="599" t="str">
        <f>IF(ISNUMBER(VLOOKUP($B76,'G1'!$D$7:$M$74,4,0)),VLOOKUP($B76,'G1'!$D$7:$M$74,4,0),"")</f>
        <v/>
      </c>
      <c r="O76" s="599" t="str">
        <f>IF(ISNUMBER(VLOOKUP($B76,'G1'!$D$7:$M$74,5,0)),VLOOKUP($B76,'G1'!$D$7:$M$74,5,0),"")</f>
        <v/>
      </c>
      <c r="P76" s="599" t="str">
        <f>IF(ISNUMBER(VLOOKUP($B76,'G1'!$D$7:$M$74,6,0)),VLOOKUP($B76,'G1'!$D$7:$M$74,6,0),"")</f>
        <v/>
      </c>
      <c r="Q76" s="598" t="str">
        <f>IF(ISNUMBER(VLOOKUP($B76,'G2'!$D$7:$M$74,2,0)),VLOOKUP($B76,'G2'!$D$7:$M$74,2,0),"")</f>
        <v/>
      </c>
      <c r="R76" s="599" t="str">
        <f>IF(ISNUMBER(VLOOKUP($B76,'G2'!$D$7:$M$74,3,0)),VLOOKUP($B76,'G2'!$D$7:$M$74,3,0),"")</f>
        <v/>
      </c>
      <c r="S76" s="599" t="str">
        <f>IF(ISNUMBER(VLOOKUP($B76,'G2'!$D$7:$M$74,4,0)),VLOOKUP($B76,'G2'!$D$7:$M$74,4,0),"")</f>
        <v/>
      </c>
      <c r="T76" s="599" t="str">
        <f>IF(ISNUMBER(VLOOKUP($B76,'G2'!$D$7:$M$74,5,0)),VLOOKUP($B76,'G2'!$D$7:$M$74,5,0),"")</f>
        <v/>
      </c>
      <c r="U76" s="599" t="str">
        <f>IF(ISNUMBER(VLOOKUP($B76,'G2'!$D$7:$M$74,6,0)),VLOOKUP($B76,'G2'!$D$7:$M$74,6,0),"")</f>
        <v/>
      </c>
      <c r="V76" s="598" t="str">
        <f>IF(ISNUMBER(VLOOKUP($B76,'G3'!$D$7:$M$74,2,0)),VLOOKUP($B76,'G3'!$D$7:$M$74,2,0),"")</f>
        <v/>
      </c>
      <c r="W76" s="599" t="str">
        <f>IF(ISNUMBER(VLOOKUP($B76,'G3'!$D$7:$M$74,3,0)),VLOOKUP($B76,'G3'!$D$7:$M$74,3,0),"")</f>
        <v/>
      </c>
      <c r="X76" s="599" t="str">
        <f>IF(ISNUMBER(VLOOKUP($B76,'G3'!$D$7:$M$74,4,0)),VLOOKUP($B76,'G3'!$D$7:$M$74,4,0),"")</f>
        <v/>
      </c>
      <c r="Y76" s="599" t="str">
        <f>IF(ISNUMBER(VLOOKUP($B76,'G3'!$D$7:$M$74,5,0)),VLOOKUP($B76,'G3'!$D$7:$M$74,5,0),"")</f>
        <v/>
      </c>
      <c r="Z76" s="599" t="str">
        <f>IF(ISNUMBER(VLOOKUP($B76,'G3'!$D$7:$M$74,6,0)),VLOOKUP($B76,'G3'!$D$7:$M$74,6,0),"")</f>
        <v/>
      </c>
      <c r="AA76" s="598" t="str">
        <f>IF(ISNUMBER(VLOOKUP($B76,#REF!,2,0)),VLOOKUP($B76,#REF!,2,0),"")</f>
        <v/>
      </c>
      <c r="AB76" s="599" t="str">
        <f>IF(ISNUMBER(VLOOKUP($B76,#REF!,3,0)),VLOOKUP($B76,#REF!,3,0),"")</f>
        <v/>
      </c>
      <c r="AC76" s="599" t="str">
        <f>IF(ISNUMBER(VLOOKUP($B76,#REF!,4,0)),VLOOKUP($B76,#REF!,4,0),"")</f>
        <v/>
      </c>
      <c r="AD76" s="599" t="str">
        <f>IF(ISNUMBER(VLOOKUP($B76,#REF!,5,0)),VLOOKUP($B76,#REF!,5,0),"")</f>
        <v/>
      </c>
      <c r="AE76" s="599" t="str">
        <f>IF(ISNUMBER(VLOOKUP($B76,#REF!,6,0)),VLOOKUP($B76,#REF!,6,0),"")</f>
        <v/>
      </c>
      <c r="AF76" s="598" t="str">
        <f>IF(ISNUMBER(VLOOKUP($B76,#REF!,2,0)),VLOOKUP($B76,#REF!,2,0),"")</f>
        <v/>
      </c>
      <c r="AG76" s="599" t="str">
        <f>IF(ISNUMBER(VLOOKUP($B76,#REF!,3,0)),VLOOKUP($B76,#REF!,3,0),"")</f>
        <v/>
      </c>
      <c r="AH76" s="599" t="str">
        <f>IF(ISNUMBER(VLOOKUP($B76,#REF!,4,0)),VLOOKUP($B76,#REF!,4,0),"")</f>
        <v/>
      </c>
      <c r="AI76" s="599" t="str">
        <f>IF(ISNUMBER(VLOOKUP($B76,#REF!,5,0)),VLOOKUP($B76,#REF!,5,0),"")</f>
        <v/>
      </c>
      <c r="AJ76" s="599" t="str">
        <f>IF(ISNUMBER(VLOOKUP($B76,#REF!,6,0)),VLOOKUP($B76,#REF!,6,0),"")</f>
        <v/>
      </c>
      <c r="AK76" s="599" t="e">
        <f>VLOOKUP($B76,Skörd!$D$5:$M$72,7,0)</f>
        <v>#N/A</v>
      </c>
    </row>
    <row r="77" spans="2:37" hidden="1" x14ac:dyDescent="0.2">
      <c r="B77" s="596" t="s">
        <v>1089</v>
      </c>
      <c r="C77" s="598" t="str">
        <f>IF(ISNUMBER(VLOOKUP($B77,'F1'!$D$6:$G$73,2,0)),VLOOKUP($B77,'F1'!$D$6:$G$73,2,0),"")</f>
        <v/>
      </c>
      <c r="D77" s="599" t="str">
        <f>IF(ISNUMBER(VLOOKUP($B77,'F1'!$D$6:$G$73,3,0)),VLOOKUP($B77,'F1'!$D$6:$G$73,3,0),"")</f>
        <v/>
      </c>
      <c r="E77" s="599" t="str">
        <f>IF(ISNUMBER(VLOOKUP($B77,'F1'!$D$6:$G$73,4,0)),VLOOKUP($B77,'F1'!$D$6:$G$73,4,0),"")</f>
        <v/>
      </c>
      <c r="F77" s="598" t="str">
        <f>IF(ISNUMBER(VLOOKUP($B77,'F2'!$D$6:$G$73,2,0)),VLOOKUP($B77,'F2'!$D$6:$G$73,2,0),"")</f>
        <v/>
      </c>
      <c r="G77" s="599" t="str">
        <f>IF(ISNUMBER(VLOOKUP($B77,'F2'!$D$6:$G$73,3,0)),VLOOKUP($B77,'F2'!$D$6:$G$73,3,0),"")</f>
        <v/>
      </c>
      <c r="H77" s="599" t="str">
        <f>IF(ISNUMBER(VLOOKUP($B77,'F2'!$D$6:$G$73,4,0)),VLOOKUP($B77,'F2'!$D$6:$G$73,4,0),"")</f>
        <v/>
      </c>
      <c r="I77" s="598" t="str">
        <f>IF(ISNUMBER(VLOOKUP($B77,#REF!,2,0)),VLOOKUP($B77,#REF!,2,0),"")</f>
        <v/>
      </c>
      <c r="J77" s="599" t="str">
        <f>IF(ISNUMBER(VLOOKUP($B77,#REF!,3,0)),VLOOKUP($B77,#REF!,3,0),"")</f>
        <v/>
      </c>
      <c r="K77" s="599" t="str">
        <f>IF(ISNUMBER(VLOOKUP($B77,#REF!,4,0)),VLOOKUP($B77,#REF!,4,0),"")</f>
        <v/>
      </c>
      <c r="L77" s="598" t="str">
        <f>IF(ISNUMBER(VLOOKUP($B77,'G1'!$D$7:$M$74,2,0)),VLOOKUP($B77,'G1'!$D$7:$M$74,2,0),"")</f>
        <v/>
      </c>
      <c r="M77" s="599" t="str">
        <f>IF(ISNUMBER(VLOOKUP($B77,'G1'!$D$7:$M$74,3,0)),VLOOKUP($B77,'G1'!$D$7:$M$74,3,0),"")</f>
        <v/>
      </c>
      <c r="N77" s="599" t="str">
        <f>IF(ISNUMBER(VLOOKUP($B77,'G1'!$D$7:$M$74,4,0)),VLOOKUP($B77,'G1'!$D$7:$M$74,4,0),"")</f>
        <v/>
      </c>
      <c r="O77" s="599" t="str">
        <f>IF(ISNUMBER(VLOOKUP($B77,'G1'!$D$7:$M$74,5,0)),VLOOKUP($B77,'G1'!$D$7:$M$74,5,0),"")</f>
        <v/>
      </c>
      <c r="P77" s="599" t="str">
        <f>IF(ISNUMBER(VLOOKUP($B77,'G1'!$D$7:$M$74,6,0)),VLOOKUP($B77,'G1'!$D$7:$M$74,6,0),"")</f>
        <v/>
      </c>
      <c r="Q77" s="598" t="str">
        <f>IF(ISNUMBER(VLOOKUP($B77,'G2'!$D$7:$M$74,2,0)),VLOOKUP($B77,'G2'!$D$7:$M$74,2,0),"")</f>
        <v/>
      </c>
      <c r="R77" s="599" t="str">
        <f>IF(ISNUMBER(VLOOKUP($B77,'G2'!$D$7:$M$74,3,0)),VLOOKUP($B77,'G2'!$D$7:$M$74,3,0),"")</f>
        <v/>
      </c>
      <c r="S77" s="599" t="str">
        <f>IF(ISNUMBER(VLOOKUP($B77,'G2'!$D$7:$M$74,4,0)),VLOOKUP($B77,'G2'!$D$7:$M$74,4,0),"")</f>
        <v/>
      </c>
      <c r="T77" s="599" t="str">
        <f>IF(ISNUMBER(VLOOKUP($B77,'G2'!$D$7:$M$74,5,0)),VLOOKUP($B77,'G2'!$D$7:$M$74,5,0),"")</f>
        <v/>
      </c>
      <c r="U77" s="599" t="str">
        <f>IF(ISNUMBER(VLOOKUP($B77,'G2'!$D$7:$M$74,6,0)),VLOOKUP($B77,'G2'!$D$7:$M$74,6,0),"")</f>
        <v/>
      </c>
      <c r="V77" s="598" t="str">
        <f>IF(ISNUMBER(VLOOKUP($B77,'G3'!$D$7:$M$74,2,0)),VLOOKUP($B77,'G3'!$D$7:$M$74,2,0),"")</f>
        <v/>
      </c>
      <c r="W77" s="599" t="str">
        <f>IF(ISNUMBER(VLOOKUP($B77,'G3'!$D$7:$M$74,3,0)),VLOOKUP($B77,'G3'!$D$7:$M$74,3,0),"")</f>
        <v/>
      </c>
      <c r="X77" s="599" t="str">
        <f>IF(ISNUMBER(VLOOKUP($B77,'G3'!$D$7:$M$74,4,0)),VLOOKUP($B77,'G3'!$D$7:$M$74,4,0),"")</f>
        <v/>
      </c>
      <c r="Y77" s="599" t="str">
        <f>IF(ISNUMBER(VLOOKUP($B77,'G3'!$D$7:$M$74,5,0)),VLOOKUP($B77,'G3'!$D$7:$M$74,5,0),"")</f>
        <v/>
      </c>
      <c r="Z77" s="599" t="str">
        <f>IF(ISNUMBER(VLOOKUP($B77,'G3'!$D$7:$M$74,6,0)),VLOOKUP($B77,'G3'!$D$7:$M$74,6,0),"")</f>
        <v/>
      </c>
      <c r="AA77" s="598" t="str">
        <f>IF(ISNUMBER(VLOOKUP($B77,#REF!,2,0)),VLOOKUP($B77,#REF!,2,0),"")</f>
        <v/>
      </c>
      <c r="AB77" s="599" t="str">
        <f>IF(ISNUMBER(VLOOKUP($B77,#REF!,3,0)),VLOOKUP($B77,#REF!,3,0),"")</f>
        <v/>
      </c>
      <c r="AC77" s="599" t="str">
        <f>IF(ISNUMBER(VLOOKUP($B77,#REF!,4,0)),VLOOKUP($B77,#REF!,4,0),"")</f>
        <v/>
      </c>
      <c r="AD77" s="599" t="str">
        <f>IF(ISNUMBER(VLOOKUP($B77,#REF!,5,0)),VLOOKUP($B77,#REF!,5,0),"")</f>
        <v/>
      </c>
      <c r="AE77" s="599" t="str">
        <f>IF(ISNUMBER(VLOOKUP($B77,#REF!,6,0)),VLOOKUP($B77,#REF!,6,0),"")</f>
        <v/>
      </c>
      <c r="AF77" s="598" t="str">
        <f>IF(ISNUMBER(VLOOKUP($B77,#REF!,2,0)),VLOOKUP($B77,#REF!,2,0),"")</f>
        <v/>
      </c>
      <c r="AG77" s="599" t="str">
        <f>IF(ISNUMBER(VLOOKUP($B77,#REF!,3,0)),VLOOKUP($B77,#REF!,3,0),"")</f>
        <v/>
      </c>
      <c r="AH77" s="599" t="str">
        <f>IF(ISNUMBER(VLOOKUP($B77,#REF!,4,0)),VLOOKUP($B77,#REF!,4,0),"")</f>
        <v/>
      </c>
      <c r="AI77" s="599" t="str">
        <f>IF(ISNUMBER(VLOOKUP($B77,#REF!,5,0)),VLOOKUP($B77,#REF!,5,0),"")</f>
        <v/>
      </c>
      <c r="AJ77" s="599" t="str">
        <f>IF(ISNUMBER(VLOOKUP($B77,#REF!,6,0)),VLOOKUP($B77,#REF!,6,0),"")</f>
        <v/>
      </c>
      <c r="AK77" s="599" t="e">
        <f>VLOOKUP($B77,Skörd!$D$5:$M$72,7,0)</f>
        <v>#N/A</v>
      </c>
    </row>
    <row r="78" spans="2:37" hidden="1" x14ac:dyDescent="0.2">
      <c r="B78" s="596" t="s">
        <v>1090</v>
      </c>
      <c r="C78" s="598" t="str">
        <f>IF(ISNUMBER(VLOOKUP($B78,'F1'!$D$6:$G$73,2,0)),VLOOKUP($B78,'F1'!$D$6:$G$73,2,0),"")</f>
        <v/>
      </c>
      <c r="D78" s="599" t="str">
        <f>IF(ISNUMBER(VLOOKUP($B78,'F1'!$D$6:$G$73,3,0)),VLOOKUP($B78,'F1'!$D$6:$G$73,3,0),"")</f>
        <v/>
      </c>
      <c r="E78" s="599" t="str">
        <f>IF(ISNUMBER(VLOOKUP($B78,'F1'!$D$6:$G$73,4,0)),VLOOKUP($B78,'F1'!$D$6:$G$73,4,0),"")</f>
        <v/>
      </c>
      <c r="F78" s="598" t="str">
        <f>IF(ISNUMBER(VLOOKUP($B78,'F2'!$D$6:$G$73,2,0)),VLOOKUP($B78,'F2'!$D$6:$G$73,2,0),"")</f>
        <v/>
      </c>
      <c r="G78" s="599" t="str">
        <f>IF(ISNUMBER(VLOOKUP($B78,'F2'!$D$6:$G$73,3,0)),VLOOKUP($B78,'F2'!$D$6:$G$73,3,0),"")</f>
        <v/>
      </c>
      <c r="H78" s="599" t="str">
        <f>IF(ISNUMBER(VLOOKUP($B78,'F2'!$D$6:$G$73,4,0)),VLOOKUP($B78,'F2'!$D$6:$G$73,4,0),"")</f>
        <v/>
      </c>
      <c r="I78" s="598" t="str">
        <f>IF(ISNUMBER(VLOOKUP($B78,#REF!,2,0)),VLOOKUP($B78,#REF!,2,0),"")</f>
        <v/>
      </c>
      <c r="J78" s="599" t="str">
        <f>IF(ISNUMBER(VLOOKUP($B78,#REF!,3,0)),VLOOKUP($B78,#REF!,3,0),"")</f>
        <v/>
      </c>
      <c r="K78" s="599" t="str">
        <f>IF(ISNUMBER(VLOOKUP($B78,#REF!,4,0)),VLOOKUP($B78,#REF!,4,0),"")</f>
        <v/>
      </c>
      <c r="L78" s="598" t="str">
        <f>IF(ISNUMBER(VLOOKUP($B78,'G1'!$D$7:$M$74,2,0)),VLOOKUP($B78,'G1'!$D$7:$M$74,2,0),"")</f>
        <v/>
      </c>
      <c r="M78" s="599" t="str">
        <f>IF(ISNUMBER(VLOOKUP($B78,'G1'!$D$7:$M$74,3,0)),VLOOKUP($B78,'G1'!$D$7:$M$74,3,0),"")</f>
        <v/>
      </c>
      <c r="N78" s="599" t="str">
        <f>IF(ISNUMBER(VLOOKUP($B78,'G1'!$D$7:$M$74,4,0)),VLOOKUP($B78,'G1'!$D$7:$M$74,4,0),"")</f>
        <v/>
      </c>
      <c r="O78" s="599" t="str">
        <f>IF(ISNUMBER(VLOOKUP($B78,'G1'!$D$7:$M$74,5,0)),VLOOKUP($B78,'G1'!$D$7:$M$74,5,0),"")</f>
        <v/>
      </c>
      <c r="P78" s="599" t="str">
        <f>IF(ISNUMBER(VLOOKUP($B78,'G1'!$D$7:$M$74,6,0)),VLOOKUP($B78,'G1'!$D$7:$M$74,6,0),"")</f>
        <v/>
      </c>
      <c r="Q78" s="598" t="str">
        <f>IF(ISNUMBER(VLOOKUP($B78,'G2'!$D$7:$M$74,2,0)),VLOOKUP($B78,'G2'!$D$7:$M$74,2,0),"")</f>
        <v/>
      </c>
      <c r="R78" s="599" t="str">
        <f>IF(ISNUMBER(VLOOKUP($B78,'G2'!$D$7:$M$74,3,0)),VLOOKUP($B78,'G2'!$D$7:$M$74,3,0),"")</f>
        <v/>
      </c>
      <c r="S78" s="599" t="str">
        <f>IF(ISNUMBER(VLOOKUP($B78,'G2'!$D$7:$M$74,4,0)),VLOOKUP($B78,'G2'!$D$7:$M$74,4,0),"")</f>
        <v/>
      </c>
      <c r="T78" s="599" t="str">
        <f>IF(ISNUMBER(VLOOKUP($B78,'G2'!$D$7:$M$74,5,0)),VLOOKUP($B78,'G2'!$D$7:$M$74,5,0),"")</f>
        <v/>
      </c>
      <c r="U78" s="599" t="str">
        <f>IF(ISNUMBER(VLOOKUP($B78,'G2'!$D$7:$M$74,6,0)),VLOOKUP($B78,'G2'!$D$7:$M$74,6,0),"")</f>
        <v/>
      </c>
      <c r="V78" s="598" t="str">
        <f>IF(ISNUMBER(VLOOKUP($B78,'G3'!$D$7:$M$74,2,0)),VLOOKUP($B78,'G3'!$D$7:$M$74,2,0),"")</f>
        <v/>
      </c>
      <c r="W78" s="599" t="str">
        <f>IF(ISNUMBER(VLOOKUP($B78,'G3'!$D$7:$M$74,3,0)),VLOOKUP($B78,'G3'!$D$7:$M$74,3,0),"")</f>
        <v/>
      </c>
      <c r="X78" s="599" t="str">
        <f>IF(ISNUMBER(VLOOKUP($B78,'G3'!$D$7:$M$74,4,0)),VLOOKUP($B78,'G3'!$D$7:$M$74,4,0),"")</f>
        <v/>
      </c>
      <c r="Y78" s="599" t="str">
        <f>IF(ISNUMBER(VLOOKUP($B78,'G3'!$D$7:$M$74,5,0)),VLOOKUP($B78,'G3'!$D$7:$M$74,5,0),"")</f>
        <v/>
      </c>
      <c r="Z78" s="599" t="str">
        <f>IF(ISNUMBER(VLOOKUP($B78,'G3'!$D$7:$M$74,6,0)),VLOOKUP($B78,'G3'!$D$7:$M$74,6,0),"")</f>
        <v/>
      </c>
      <c r="AA78" s="598" t="str">
        <f>IF(ISNUMBER(VLOOKUP($B78,#REF!,2,0)),VLOOKUP($B78,#REF!,2,0),"")</f>
        <v/>
      </c>
      <c r="AB78" s="599" t="str">
        <f>IF(ISNUMBER(VLOOKUP($B78,#REF!,3,0)),VLOOKUP($B78,#REF!,3,0),"")</f>
        <v/>
      </c>
      <c r="AC78" s="599" t="str">
        <f>IF(ISNUMBER(VLOOKUP($B78,#REF!,4,0)),VLOOKUP($B78,#REF!,4,0),"")</f>
        <v/>
      </c>
      <c r="AD78" s="599" t="str">
        <f>IF(ISNUMBER(VLOOKUP($B78,#REF!,5,0)),VLOOKUP($B78,#REF!,5,0),"")</f>
        <v/>
      </c>
      <c r="AE78" s="599" t="str">
        <f>IF(ISNUMBER(VLOOKUP($B78,#REF!,6,0)),VLOOKUP($B78,#REF!,6,0),"")</f>
        <v/>
      </c>
      <c r="AF78" s="598" t="str">
        <f>IF(ISNUMBER(VLOOKUP($B78,#REF!,2,0)),VLOOKUP($B78,#REF!,2,0),"")</f>
        <v/>
      </c>
      <c r="AG78" s="599" t="str">
        <f>IF(ISNUMBER(VLOOKUP($B78,#REF!,3,0)),VLOOKUP($B78,#REF!,3,0),"")</f>
        <v/>
      </c>
      <c r="AH78" s="599" t="str">
        <f>IF(ISNUMBER(VLOOKUP($B78,#REF!,4,0)),VLOOKUP($B78,#REF!,4,0),"")</f>
        <v/>
      </c>
      <c r="AI78" s="599" t="str">
        <f>IF(ISNUMBER(VLOOKUP($B78,#REF!,5,0)),VLOOKUP($B78,#REF!,5,0),"")</f>
        <v/>
      </c>
      <c r="AJ78" s="599" t="str">
        <f>IF(ISNUMBER(VLOOKUP($B78,#REF!,6,0)),VLOOKUP($B78,#REF!,6,0),"")</f>
        <v/>
      </c>
      <c r="AK78" s="599" t="e">
        <f>VLOOKUP($B78,Skörd!$D$5:$M$72,7,0)</f>
        <v>#N/A</v>
      </c>
    </row>
    <row r="79" spans="2:37" hidden="1" x14ac:dyDescent="0.2">
      <c r="B79" s="596" t="s">
        <v>1091</v>
      </c>
      <c r="C79" s="598" t="str">
        <f>IF(ISNUMBER(VLOOKUP($B79,'F1'!$D$6:$G$73,2,0)),VLOOKUP($B79,'F1'!$D$6:$G$73,2,0),"")</f>
        <v/>
      </c>
      <c r="D79" s="599" t="str">
        <f>IF(ISNUMBER(VLOOKUP($B79,'F1'!$D$6:$G$73,3,0)),VLOOKUP($B79,'F1'!$D$6:$G$73,3,0),"")</f>
        <v/>
      </c>
      <c r="E79" s="599" t="str">
        <f>IF(ISNUMBER(VLOOKUP($B79,'F1'!$D$6:$G$73,4,0)),VLOOKUP($B79,'F1'!$D$6:$G$73,4,0),"")</f>
        <v/>
      </c>
      <c r="F79" s="598" t="str">
        <f>IF(ISNUMBER(VLOOKUP($B79,'F2'!$D$6:$G$73,2,0)),VLOOKUP($B79,'F2'!$D$6:$G$73,2,0),"")</f>
        <v/>
      </c>
      <c r="G79" s="599" t="str">
        <f>IF(ISNUMBER(VLOOKUP($B79,'F2'!$D$6:$G$73,3,0)),VLOOKUP($B79,'F2'!$D$6:$G$73,3,0),"")</f>
        <v/>
      </c>
      <c r="H79" s="599" t="str">
        <f>IF(ISNUMBER(VLOOKUP($B79,'F2'!$D$6:$G$73,4,0)),VLOOKUP($B79,'F2'!$D$6:$G$73,4,0),"")</f>
        <v/>
      </c>
      <c r="I79" s="598" t="str">
        <f>IF(ISNUMBER(VLOOKUP($B79,#REF!,2,0)),VLOOKUP($B79,#REF!,2,0),"")</f>
        <v/>
      </c>
      <c r="J79" s="599" t="str">
        <f>IF(ISNUMBER(VLOOKUP($B79,#REF!,3,0)),VLOOKUP($B79,#REF!,3,0),"")</f>
        <v/>
      </c>
      <c r="K79" s="599" t="str">
        <f>IF(ISNUMBER(VLOOKUP($B79,#REF!,4,0)),VLOOKUP($B79,#REF!,4,0),"")</f>
        <v/>
      </c>
      <c r="L79" s="598" t="str">
        <f>IF(ISNUMBER(VLOOKUP($B79,'G1'!$D$7:$M$74,2,0)),VLOOKUP($B79,'G1'!$D$7:$M$74,2,0),"")</f>
        <v/>
      </c>
      <c r="M79" s="599" t="str">
        <f>IF(ISNUMBER(VLOOKUP($B79,'G1'!$D$7:$M$74,3,0)),VLOOKUP($B79,'G1'!$D$7:$M$74,3,0),"")</f>
        <v/>
      </c>
      <c r="N79" s="599" t="str">
        <f>IF(ISNUMBER(VLOOKUP($B79,'G1'!$D$7:$M$74,4,0)),VLOOKUP($B79,'G1'!$D$7:$M$74,4,0),"")</f>
        <v/>
      </c>
      <c r="O79" s="599" t="str">
        <f>IF(ISNUMBER(VLOOKUP($B79,'G1'!$D$7:$M$74,5,0)),VLOOKUP($B79,'G1'!$D$7:$M$74,5,0),"")</f>
        <v/>
      </c>
      <c r="P79" s="599" t="str">
        <f>IF(ISNUMBER(VLOOKUP($B79,'G1'!$D$7:$M$74,6,0)),VLOOKUP($B79,'G1'!$D$7:$M$74,6,0),"")</f>
        <v/>
      </c>
      <c r="Q79" s="598" t="str">
        <f>IF(ISNUMBER(VLOOKUP($B79,'G2'!$D$7:$M$74,2,0)),VLOOKUP($B79,'G2'!$D$7:$M$74,2,0),"")</f>
        <v/>
      </c>
      <c r="R79" s="599" t="str">
        <f>IF(ISNUMBER(VLOOKUP($B79,'G2'!$D$7:$M$74,3,0)),VLOOKUP($B79,'G2'!$D$7:$M$74,3,0),"")</f>
        <v/>
      </c>
      <c r="S79" s="599" t="str">
        <f>IF(ISNUMBER(VLOOKUP($B79,'G2'!$D$7:$M$74,4,0)),VLOOKUP($B79,'G2'!$D$7:$M$74,4,0),"")</f>
        <v/>
      </c>
      <c r="T79" s="599" t="str">
        <f>IF(ISNUMBER(VLOOKUP($B79,'G2'!$D$7:$M$74,5,0)),VLOOKUP($B79,'G2'!$D$7:$M$74,5,0),"")</f>
        <v/>
      </c>
      <c r="U79" s="599" t="str">
        <f>IF(ISNUMBER(VLOOKUP($B79,'G2'!$D$7:$M$74,6,0)),VLOOKUP($B79,'G2'!$D$7:$M$74,6,0),"")</f>
        <v/>
      </c>
      <c r="V79" s="598" t="str">
        <f>IF(ISNUMBER(VLOOKUP($B79,'G3'!$D$7:$M$74,2,0)),VLOOKUP($B79,'G3'!$D$7:$M$74,2,0),"")</f>
        <v/>
      </c>
      <c r="W79" s="599" t="str">
        <f>IF(ISNUMBER(VLOOKUP($B79,'G3'!$D$7:$M$74,3,0)),VLOOKUP($B79,'G3'!$D$7:$M$74,3,0),"")</f>
        <v/>
      </c>
      <c r="X79" s="599" t="str">
        <f>IF(ISNUMBER(VLOOKUP($B79,'G3'!$D$7:$M$74,4,0)),VLOOKUP($B79,'G3'!$D$7:$M$74,4,0),"")</f>
        <v/>
      </c>
      <c r="Y79" s="599" t="str">
        <f>IF(ISNUMBER(VLOOKUP($B79,'G3'!$D$7:$M$74,5,0)),VLOOKUP($B79,'G3'!$D$7:$M$74,5,0),"")</f>
        <v/>
      </c>
      <c r="Z79" s="599" t="str">
        <f>IF(ISNUMBER(VLOOKUP($B79,'G3'!$D$7:$M$74,6,0)),VLOOKUP($B79,'G3'!$D$7:$M$74,6,0),"")</f>
        <v/>
      </c>
      <c r="AA79" s="598" t="str">
        <f>IF(ISNUMBER(VLOOKUP($B79,#REF!,2,0)),VLOOKUP($B79,#REF!,2,0),"")</f>
        <v/>
      </c>
      <c r="AB79" s="599" t="str">
        <f>IF(ISNUMBER(VLOOKUP($B79,#REF!,3,0)),VLOOKUP($B79,#REF!,3,0),"")</f>
        <v/>
      </c>
      <c r="AC79" s="599" t="str">
        <f>IF(ISNUMBER(VLOOKUP($B79,#REF!,4,0)),VLOOKUP($B79,#REF!,4,0),"")</f>
        <v/>
      </c>
      <c r="AD79" s="599" t="str">
        <f>IF(ISNUMBER(VLOOKUP($B79,#REF!,5,0)),VLOOKUP($B79,#REF!,5,0),"")</f>
        <v/>
      </c>
      <c r="AE79" s="599" t="str">
        <f>IF(ISNUMBER(VLOOKUP($B79,#REF!,6,0)),VLOOKUP($B79,#REF!,6,0),"")</f>
        <v/>
      </c>
      <c r="AF79" s="598" t="str">
        <f>IF(ISNUMBER(VLOOKUP($B79,#REF!,2,0)),VLOOKUP($B79,#REF!,2,0),"")</f>
        <v/>
      </c>
      <c r="AG79" s="599" t="str">
        <f>IF(ISNUMBER(VLOOKUP($B79,#REF!,3,0)),VLOOKUP($B79,#REF!,3,0),"")</f>
        <v/>
      </c>
      <c r="AH79" s="599" t="str">
        <f>IF(ISNUMBER(VLOOKUP($B79,#REF!,4,0)),VLOOKUP($B79,#REF!,4,0),"")</f>
        <v/>
      </c>
      <c r="AI79" s="599" t="str">
        <f>IF(ISNUMBER(VLOOKUP($B79,#REF!,5,0)),VLOOKUP($B79,#REF!,5,0),"")</f>
        <v/>
      </c>
      <c r="AJ79" s="599" t="str">
        <f>IF(ISNUMBER(VLOOKUP($B79,#REF!,6,0)),VLOOKUP($B79,#REF!,6,0),"")</f>
        <v/>
      </c>
      <c r="AK79" s="599" t="e">
        <f>VLOOKUP($B79,Skörd!$D$5:$M$72,7,0)</f>
        <v>#N/A</v>
      </c>
    </row>
    <row r="80" spans="2:37" hidden="1" x14ac:dyDescent="0.2">
      <c r="B80" s="596" t="s">
        <v>1092</v>
      </c>
      <c r="C80" s="598" t="str">
        <f>IF(ISNUMBER(VLOOKUP($B80,'F1'!$D$6:$G$73,2,0)),VLOOKUP($B80,'F1'!$D$6:$G$73,2,0),"")</f>
        <v/>
      </c>
      <c r="D80" s="599" t="str">
        <f>IF(ISNUMBER(VLOOKUP($B80,'F1'!$D$6:$G$73,3,0)),VLOOKUP($B80,'F1'!$D$6:$G$73,3,0),"")</f>
        <v/>
      </c>
      <c r="E80" s="599" t="str">
        <f>IF(ISNUMBER(VLOOKUP($B80,'F1'!$D$6:$G$73,4,0)),VLOOKUP($B80,'F1'!$D$6:$G$73,4,0),"")</f>
        <v/>
      </c>
      <c r="F80" s="598" t="str">
        <f>IF(ISNUMBER(VLOOKUP($B80,'F2'!$D$6:$G$73,2,0)),VLOOKUP($B80,'F2'!$D$6:$G$73,2,0),"")</f>
        <v/>
      </c>
      <c r="G80" s="599" t="str">
        <f>IF(ISNUMBER(VLOOKUP($B80,'F2'!$D$6:$G$73,3,0)),VLOOKUP($B80,'F2'!$D$6:$G$73,3,0),"")</f>
        <v/>
      </c>
      <c r="H80" s="599" t="str">
        <f>IF(ISNUMBER(VLOOKUP($B80,'F2'!$D$6:$G$73,4,0)),VLOOKUP($B80,'F2'!$D$6:$G$73,4,0),"")</f>
        <v/>
      </c>
      <c r="I80" s="598" t="str">
        <f>IF(ISNUMBER(VLOOKUP($B80,#REF!,2,0)),VLOOKUP($B80,#REF!,2,0),"")</f>
        <v/>
      </c>
      <c r="J80" s="599" t="str">
        <f>IF(ISNUMBER(VLOOKUP($B80,#REF!,3,0)),VLOOKUP($B80,#REF!,3,0),"")</f>
        <v/>
      </c>
      <c r="K80" s="599" t="str">
        <f>IF(ISNUMBER(VLOOKUP($B80,#REF!,4,0)),VLOOKUP($B80,#REF!,4,0),"")</f>
        <v/>
      </c>
      <c r="L80" s="598" t="str">
        <f>IF(ISNUMBER(VLOOKUP($B80,'G1'!$D$7:$M$74,2,0)),VLOOKUP($B80,'G1'!$D$7:$M$74,2,0),"")</f>
        <v/>
      </c>
      <c r="M80" s="599" t="str">
        <f>IF(ISNUMBER(VLOOKUP($B80,'G1'!$D$7:$M$74,3,0)),VLOOKUP($B80,'G1'!$D$7:$M$74,3,0),"")</f>
        <v/>
      </c>
      <c r="N80" s="599" t="str">
        <f>IF(ISNUMBER(VLOOKUP($B80,'G1'!$D$7:$M$74,4,0)),VLOOKUP($B80,'G1'!$D$7:$M$74,4,0),"")</f>
        <v/>
      </c>
      <c r="O80" s="599" t="str">
        <f>IF(ISNUMBER(VLOOKUP($B80,'G1'!$D$7:$M$74,5,0)),VLOOKUP($B80,'G1'!$D$7:$M$74,5,0),"")</f>
        <v/>
      </c>
      <c r="P80" s="599" t="str">
        <f>IF(ISNUMBER(VLOOKUP($B80,'G1'!$D$7:$M$74,6,0)),VLOOKUP($B80,'G1'!$D$7:$M$74,6,0),"")</f>
        <v/>
      </c>
      <c r="Q80" s="598" t="str">
        <f>IF(ISNUMBER(VLOOKUP($B80,'G2'!$D$7:$M$74,2,0)),VLOOKUP($B80,'G2'!$D$7:$M$74,2,0),"")</f>
        <v/>
      </c>
      <c r="R80" s="599" t="str">
        <f>IF(ISNUMBER(VLOOKUP($B80,'G2'!$D$7:$M$74,3,0)),VLOOKUP($B80,'G2'!$D$7:$M$74,3,0),"")</f>
        <v/>
      </c>
      <c r="S80" s="599" t="str">
        <f>IF(ISNUMBER(VLOOKUP($B80,'G2'!$D$7:$M$74,4,0)),VLOOKUP($B80,'G2'!$D$7:$M$74,4,0),"")</f>
        <v/>
      </c>
      <c r="T80" s="599" t="str">
        <f>IF(ISNUMBER(VLOOKUP($B80,'G2'!$D$7:$M$74,5,0)),VLOOKUP($B80,'G2'!$D$7:$M$74,5,0),"")</f>
        <v/>
      </c>
      <c r="U80" s="599" t="str">
        <f>IF(ISNUMBER(VLOOKUP($B80,'G2'!$D$7:$M$74,6,0)),VLOOKUP($B80,'G2'!$D$7:$M$74,6,0),"")</f>
        <v/>
      </c>
      <c r="V80" s="598" t="str">
        <f>IF(ISNUMBER(VLOOKUP($B80,'G3'!$D$7:$M$74,2,0)),VLOOKUP($B80,'G3'!$D$7:$M$74,2,0),"")</f>
        <v/>
      </c>
      <c r="W80" s="599" t="str">
        <f>IF(ISNUMBER(VLOOKUP($B80,'G3'!$D$7:$M$74,3,0)),VLOOKUP($B80,'G3'!$D$7:$M$74,3,0),"")</f>
        <v/>
      </c>
      <c r="X80" s="599" t="str">
        <f>IF(ISNUMBER(VLOOKUP($B80,'G3'!$D$7:$M$74,4,0)),VLOOKUP($B80,'G3'!$D$7:$M$74,4,0),"")</f>
        <v/>
      </c>
      <c r="Y80" s="599" t="str">
        <f>IF(ISNUMBER(VLOOKUP($B80,'G3'!$D$7:$M$74,5,0)),VLOOKUP($B80,'G3'!$D$7:$M$74,5,0),"")</f>
        <v/>
      </c>
      <c r="Z80" s="599" t="str">
        <f>IF(ISNUMBER(VLOOKUP($B80,'G3'!$D$7:$M$74,6,0)),VLOOKUP($B80,'G3'!$D$7:$M$74,6,0),"")</f>
        <v/>
      </c>
      <c r="AA80" s="598" t="str">
        <f>IF(ISNUMBER(VLOOKUP($B80,#REF!,2,0)),VLOOKUP($B80,#REF!,2,0),"")</f>
        <v/>
      </c>
      <c r="AB80" s="599" t="str">
        <f>IF(ISNUMBER(VLOOKUP($B80,#REF!,3,0)),VLOOKUP($B80,#REF!,3,0),"")</f>
        <v/>
      </c>
      <c r="AC80" s="599" t="str">
        <f>IF(ISNUMBER(VLOOKUP($B80,#REF!,4,0)),VLOOKUP($B80,#REF!,4,0),"")</f>
        <v/>
      </c>
      <c r="AD80" s="599" t="str">
        <f>IF(ISNUMBER(VLOOKUP($B80,#REF!,5,0)),VLOOKUP($B80,#REF!,5,0),"")</f>
        <v/>
      </c>
      <c r="AE80" s="599" t="str">
        <f>IF(ISNUMBER(VLOOKUP($B80,#REF!,6,0)),VLOOKUP($B80,#REF!,6,0),"")</f>
        <v/>
      </c>
      <c r="AF80" s="598" t="str">
        <f>IF(ISNUMBER(VLOOKUP($B80,#REF!,2,0)),VLOOKUP($B80,#REF!,2,0),"")</f>
        <v/>
      </c>
      <c r="AG80" s="599" t="str">
        <f>IF(ISNUMBER(VLOOKUP($B80,#REF!,3,0)),VLOOKUP($B80,#REF!,3,0),"")</f>
        <v/>
      </c>
      <c r="AH80" s="599" t="str">
        <f>IF(ISNUMBER(VLOOKUP($B80,#REF!,4,0)),VLOOKUP($B80,#REF!,4,0),"")</f>
        <v/>
      </c>
      <c r="AI80" s="599" t="str">
        <f>IF(ISNUMBER(VLOOKUP($B80,#REF!,5,0)),VLOOKUP($B80,#REF!,5,0),"")</f>
        <v/>
      </c>
      <c r="AJ80" s="599" t="str">
        <f>IF(ISNUMBER(VLOOKUP($B80,#REF!,6,0)),VLOOKUP($B80,#REF!,6,0),"")</f>
        <v/>
      </c>
      <c r="AK80" s="599" t="e">
        <f>VLOOKUP($B80,Skörd!$D$5:$M$72,7,0)</f>
        <v>#N/A</v>
      </c>
    </row>
    <row r="81" spans="2:37" hidden="1" x14ac:dyDescent="0.2">
      <c r="B81" s="596" t="s">
        <v>1093</v>
      </c>
      <c r="C81" s="598" t="str">
        <f>IF(ISNUMBER(VLOOKUP($B81,'F1'!$D$6:$G$73,2,0)),VLOOKUP($B81,'F1'!$D$6:$G$73,2,0),"")</f>
        <v/>
      </c>
      <c r="D81" s="599" t="str">
        <f>IF(ISNUMBER(VLOOKUP($B81,'F1'!$D$6:$G$73,3,0)),VLOOKUP($B81,'F1'!$D$6:$G$73,3,0),"")</f>
        <v/>
      </c>
      <c r="E81" s="599" t="str">
        <f>IF(ISNUMBER(VLOOKUP($B81,'F1'!$D$6:$G$73,4,0)),VLOOKUP($B81,'F1'!$D$6:$G$73,4,0),"")</f>
        <v/>
      </c>
      <c r="F81" s="598" t="str">
        <f>IF(ISNUMBER(VLOOKUP($B81,'F2'!$D$6:$G$73,2,0)),VLOOKUP($B81,'F2'!$D$6:$G$73,2,0),"")</f>
        <v/>
      </c>
      <c r="G81" s="599" t="str">
        <f>IF(ISNUMBER(VLOOKUP($B81,'F2'!$D$6:$G$73,3,0)),VLOOKUP($B81,'F2'!$D$6:$G$73,3,0),"")</f>
        <v/>
      </c>
      <c r="H81" s="599" t="str">
        <f>IF(ISNUMBER(VLOOKUP($B81,'F2'!$D$6:$G$73,4,0)),VLOOKUP($B81,'F2'!$D$6:$G$73,4,0),"")</f>
        <v/>
      </c>
      <c r="I81" s="598" t="str">
        <f>IF(ISNUMBER(VLOOKUP($B81,#REF!,2,0)),VLOOKUP($B81,#REF!,2,0),"")</f>
        <v/>
      </c>
      <c r="J81" s="599" t="str">
        <f>IF(ISNUMBER(VLOOKUP($B81,#REF!,3,0)),VLOOKUP($B81,#REF!,3,0),"")</f>
        <v/>
      </c>
      <c r="K81" s="599" t="str">
        <f>IF(ISNUMBER(VLOOKUP($B81,#REF!,4,0)),VLOOKUP($B81,#REF!,4,0),"")</f>
        <v/>
      </c>
      <c r="L81" s="598" t="str">
        <f>IF(ISNUMBER(VLOOKUP($B81,'G1'!$D$7:$M$74,2,0)),VLOOKUP($B81,'G1'!$D$7:$M$74,2,0),"")</f>
        <v/>
      </c>
      <c r="M81" s="599" t="str">
        <f>IF(ISNUMBER(VLOOKUP($B81,'G1'!$D$7:$M$74,3,0)),VLOOKUP($B81,'G1'!$D$7:$M$74,3,0),"")</f>
        <v/>
      </c>
      <c r="N81" s="599" t="str">
        <f>IF(ISNUMBER(VLOOKUP($B81,'G1'!$D$7:$M$74,4,0)),VLOOKUP($B81,'G1'!$D$7:$M$74,4,0),"")</f>
        <v/>
      </c>
      <c r="O81" s="599" t="str">
        <f>IF(ISNUMBER(VLOOKUP($B81,'G1'!$D$7:$M$74,5,0)),VLOOKUP($B81,'G1'!$D$7:$M$74,5,0),"")</f>
        <v/>
      </c>
      <c r="P81" s="599" t="str">
        <f>IF(ISNUMBER(VLOOKUP($B81,'G1'!$D$7:$M$74,6,0)),VLOOKUP($B81,'G1'!$D$7:$M$74,6,0),"")</f>
        <v/>
      </c>
      <c r="Q81" s="598" t="str">
        <f>IF(ISNUMBER(VLOOKUP($B81,'G2'!$D$7:$M$74,2,0)),VLOOKUP($B81,'G2'!$D$7:$M$74,2,0),"")</f>
        <v/>
      </c>
      <c r="R81" s="599" t="str">
        <f>IF(ISNUMBER(VLOOKUP($B81,'G2'!$D$7:$M$74,3,0)),VLOOKUP($B81,'G2'!$D$7:$M$74,3,0),"")</f>
        <v/>
      </c>
      <c r="S81" s="599" t="str">
        <f>IF(ISNUMBER(VLOOKUP($B81,'G2'!$D$7:$M$74,4,0)),VLOOKUP($B81,'G2'!$D$7:$M$74,4,0),"")</f>
        <v/>
      </c>
      <c r="T81" s="599" t="str">
        <f>IF(ISNUMBER(VLOOKUP($B81,'G2'!$D$7:$M$74,5,0)),VLOOKUP($B81,'G2'!$D$7:$M$74,5,0),"")</f>
        <v/>
      </c>
      <c r="U81" s="599" t="str">
        <f>IF(ISNUMBER(VLOOKUP($B81,'G2'!$D$7:$M$74,6,0)),VLOOKUP($B81,'G2'!$D$7:$M$74,6,0),"")</f>
        <v/>
      </c>
      <c r="V81" s="598" t="str">
        <f>IF(ISNUMBER(VLOOKUP($B81,'G3'!$D$7:$M$74,2,0)),VLOOKUP($B81,'G3'!$D$7:$M$74,2,0),"")</f>
        <v/>
      </c>
      <c r="W81" s="599" t="str">
        <f>IF(ISNUMBER(VLOOKUP($B81,'G3'!$D$7:$M$74,3,0)),VLOOKUP($B81,'G3'!$D$7:$M$74,3,0),"")</f>
        <v/>
      </c>
      <c r="X81" s="599" t="str">
        <f>IF(ISNUMBER(VLOOKUP($B81,'G3'!$D$7:$M$74,4,0)),VLOOKUP($B81,'G3'!$D$7:$M$74,4,0),"")</f>
        <v/>
      </c>
      <c r="Y81" s="599" t="str">
        <f>IF(ISNUMBER(VLOOKUP($B81,'G3'!$D$7:$M$74,5,0)),VLOOKUP($B81,'G3'!$D$7:$M$74,5,0),"")</f>
        <v/>
      </c>
      <c r="Z81" s="599" t="str">
        <f>IF(ISNUMBER(VLOOKUP($B81,'G3'!$D$7:$M$74,6,0)),VLOOKUP($B81,'G3'!$D$7:$M$74,6,0),"")</f>
        <v/>
      </c>
      <c r="AA81" s="598" t="str">
        <f>IF(ISNUMBER(VLOOKUP($B81,#REF!,2,0)),VLOOKUP($B81,#REF!,2,0),"")</f>
        <v/>
      </c>
      <c r="AB81" s="599" t="str">
        <f>IF(ISNUMBER(VLOOKUP($B81,#REF!,3,0)),VLOOKUP($B81,#REF!,3,0),"")</f>
        <v/>
      </c>
      <c r="AC81" s="599" t="str">
        <f>IF(ISNUMBER(VLOOKUP($B81,#REF!,4,0)),VLOOKUP($B81,#REF!,4,0),"")</f>
        <v/>
      </c>
      <c r="AD81" s="599" t="str">
        <f>IF(ISNUMBER(VLOOKUP($B81,#REF!,5,0)),VLOOKUP($B81,#REF!,5,0),"")</f>
        <v/>
      </c>
      <c r="AE81" s="599" t="str">
        <f>IF(ISNUMBER(VLOOKUP($B81,#REF!,6,0)),VLOOKUP($B81,#REF!,6,0),"")</f>
        <v/>
      </c>
      <c r="AF81" s="598" t="str">
        <f>IF(ISNUMBER(VLOOKUP($B81,#REF!,2,0)),VLOOKUP($B81,#REF!,2,0),"")</f>
        <v/>
      </c>
      <c r="AG81" s="599" t="str">
        <f>IF(ISNUMBER(VLOOKUP($B81,#REF!,3,0)),VLOOKUP($B81,#REF!,3,0),"")</f>
        <v/>
      </c>
      <c r="AH81" s="599" t="str">
        <f>IF(ISNUMBER(VLOOKUP($B81,#REF!,4,0)),VLOOKUP($B81,#REF!,4,0),"")</f>
        <v/>
      </c>
      <c r="AI81" s="599" t="str">
        <f>IF(ISNUMBER(VLOOKUP($B81,#REF!,5,0)),VLOOKUP($B81,#REF!,5,0),"")</f>
        <v/>
      </c>
      <c r="AJ81" s="599" t="str">
        <f>IF(ISNUMBER(VLOOKUP($B81,#REF!,6,0)),VLOOKUP($B81,#REF!,6,0),"")</f>
        <v/>
      </c>
      <c r="AK81" s="599" t="e">
        <f>VLOOKUP($B81,Skörd!$D$5:$M$72,7,0)</f>
        <v>#N/A</v>
      </c>
    </row>
    <row r="82" spans="2:37" hidden="1" x14ac:dyDescent="0.2">
      <c r="B82" s="596" t="s">
        <v>1094</v>
      </c>
      <c r="C82" s="598" t="str">
        <f>IF(ISNUMBER(VLOOKUP($B82,'F1'!$D$6:$G$73,2,0)),VLOOKUP($B82,'F1'!$D$6:$G$73,2,0),"")</f>
        <v/>
      </c>
      <c r="D82" s="599" t="str">
        <f>IF(ISNUMBER(VLOOKUP($B82,'F1'!$D$6:$G$73,3,0)),VLOOKUP($B82,'F1'!$D$6:$G$73,3,0),"")</f>
        <v/>
      </c>
      <c r="E82" s="599" t="str">
        <f>IF(ISNUMBER(VLOOKUP($B82,'F1'!$D$6:$G$73,4,0)),VLOOKUP($B82,'F1'!$D$6:$G$73,4,0),"")</f>
        <v/>
      </c>
      <c r="F82" s="598" t="str">
        <f>IF(ISNUMBER(VLOOKUP($B82,'F2'!$D$6:$G$73,2,0)),VLOOKUP($B82,'F2'!$D$6:$G$73,2,0),"")</f>
        <v/>
      </c>
      <c r="G82" s="599" t="str">
        <f>IF(ISNUMBER(VLOOKUP($B82,'F2'!$D$6:$G$73,3,0)),VLOOKUP($B82,'F2'!$D$6:$G$73,3,0),"")</f>
        <v/>
      </c>
      <c r="H82" s="599" t="str">
        <f>IF(ISNUMBER(VLOOKUP($B82,'F2'!$D$6:$G$73,4,0)),VLOOKUP($B82,'F2'!$D$6:$G$73,4,0),"")</f>
        <v/>
      </c>
      <c r="I82" s="598" t="str">
        <f>IF(ISNUMBER(VLOOKUP($B82,#REF!,2,0)),VLOOKUP($B82,#REF!,2,0),"")</f>
        <v/>
      </c>
      <c r="J82" s="599" t="str">
        <f>IF(ISNUMBER(VLOOKUP($B82,#REF!,3,0)),VLOOKUP($B82,#REF!,3,0),"")</f>
        <v/>
      </c>
      <c r="K82" s="599" t="str">
        <f>IF(ISNUMBER(VLOOKUP($B82,#REF!,4,0)),VLOOKUP($B82,#REF!,4,0),"")</f>
        <v/>
      </c>
      <c r="L82" s="598" t="str">
        <f>IF(ISNUMBER(VLOOKUP($B82,'G1'!$D$7:$M$74,2,0)),VLOOKUP($B82,'G1'!$D$7:$M$74,2,0),"")</f>
        <v/>
      </c>
      <c r="M82" s="599" t="str">
        <f>IF(ISNUMBER(VLOOKUP($B82,'G1'!$D$7:$M$74,3,0)),VLOOKUP($B82,'G1'!$D$7:$M$74,3,0),"")</f>
        <v/>
      </c>
      <c r="N82" s="599" t="str">
        <f>IF(ISNUMBER(VLOOKUP($B82,'G1'!$D$7:$M$74,4,0)),VLOOKUP($B82,'G1'!$D$7:$M$74,4,0),"")</f>
        <v/>
      </c>
      <c r="O82" s="599" t="str">
        <f>IF(ISNUMBER(VLOOKUP($B82,'G1'!$D$7:$M$74,5,0)),VLOOKUP($B82,'G1'!$D$7:$M$74,5,0),"")</f>
        <v/>
      </c>
      <c r="P82" s="599" t="str">
        <f>IF(ISNUMBER(VLOOKUP($B82,'G1'!$D$7:$M$74,6,0)),VLOOKUP($B82,'G1'!$D$7:$M$74,6,0),"")</f>
        <v/>
      </c>
      <c r="Q82" s="598" t="str">
        <f>IF(ISNUMBER(VLOOKUP($B82,'G2'!$D$7:$M$74,2,0)),VLOOKUP($B82,'G2'!$D$7:$M$74,2,0),"")</f>
        <v/>
      </c>
      <c r="R82" s="599" t="str">
        <f>IF(ISNUMBER(VLOOKUP($B82,'G2'!$D$7:$M$74,3,0)),VLOOKUP($B82,'G2'!$D$7:$M$74,3,0),"")</f>
        <v/>
      </c>
      <c r="S82" s="599" t="str">
        <f>IF(ISNUMBER(VLOOKUP($B82,'G2'!$D$7:$M$74,4,0)),VLOOKUP($B82,'G2'!$D$7:$M$74,4,0),"")</f>
        <v/>
      </c>
      <c r="T82" s="599" t="str">
        <f>IF(ISNUMBER(VLOOKUP($B82,'G2'!$D$7:$M$74,5,0)),VLOOKUP($B82,'G2'!$D$7:$M$74,5,0),"")</f>
        <v/>
      </c>
      <c r="U82" s="599" t="str">
        <f>IF(ISNUMBER(VLOOKUP($B82,'G2'!$D$7:$M$74,6,0)),VLOOKUP($B82,'G2'!$D$7:$M$74,6,0),"")</f>
        <v/>
      </c>
      <c r="V82" s="598" t="str">
        <f>IF(ISNUMBER(VLOOKUP($B82,'G3'!$D$7:$M$74,2,0)),VLOOKUP($B82,'G3'!$D$7:$M$74,2,0),"")</f>
        <v/>
      </c>
      <c r="W82" s="599" t="str">
        <f>IF(ISNUMBER(VLOOKUP($B82,'G3'!$D$7:$M$74,3,0)),VLOOKUP($B82,'G3'!$D$7:$M$74,3,0),"")</f>
        <v/>
      </c>
      <c r="X82" s="599" t="str">
        <f>IF(ISNUMBER(VLOOKUP($B82,'G3'!$D$7:$M$74,4,0)),VLOOKUP($B82,'G3'!$D$7:$M$74,4,0),"")</f>
        <v/>
      </c>
      <c r="Y82" s="599" t="str">
        <f>IF(ISNUMBER(VLOOKUP($B82,'G3'!$D$7:$M$74,5,0)),VLOOKUP($B82,'G3'!$D$7:$M$74,5,0),"")</f>
        <v/>
      </c>
      <c r="Z82" s="599" t="str">
        <f>IF(ISNUMBER(VLOOKUP($B82,'G3'!$D$7:$M$74,6,0)),VLOOKUP($B82,'G3'!$D$7:$M$74,6,0),"")</f>
        <v/>
      </c>
      <c r="AA82" s="598" t="str">
        <f>IF(ISNUMBER(VLOOKUP($B82,#REF!,2,0)),VLOOKUP($B82,#REF!,2,0),"")</f>
        <v/>
      </c>
      <c r="AB82" s="599" t="str">
        <f>IF(ISNUMBER(VLOOKUP($B82,#REF!,3,0)),VLOOKUP($B82,#REF!,3,0),"")</f>
        <v/>
      </c>
      <c r="AC82" s="599" t="str">
        <f>IF(ISNUMBER(VLOOKUP($B82,#REF!,4,0)),VLOOKUP($B82,#REF!,4,0),"")</f>
        <v/>
      </c>
      <c r="AD82" s="599" t="str">
        <f>IF(ISNUMBER(VLOOKUP($B82,#REF!,5,0)),VLOOKUP($B82,#REF!,5,0),"")</f>
        <v/>
      </c>
      <c r="AE82" s="599" t="str">
        <f>IF(ISNUMBER(VLOOKUP($B82,#REF!,6,0)),VLOOKUP($B82,#REF!,6,0),"")</f>
        <v/>
      </c>
      <c r="AF82" s="598" t="str">
        <f>IF(ISNUMBER(VLOOKUP($B82,#REF!,2,0)),VLOOKUP($B82,#REF!,2,0),"")</f>
        <v/>
      </c>
      <c r="AG82" s="599" t="str">
        <f>IF(ISNUMBER(VLOOKUP($B82,#REF!,3,0)),VLOOKUP($B82,#REF!,3,0),"")</f>
        <v/>
      </c>
      <c r="AH82" s="599" t="str">
        <f>IF(ISNUMBER(VLOOKUP($B82,#REF!,4,0)),VLOOKUP($B82,#REF!,4,0),"")</f>
        <v/>
      </c>
      <c r="AI82" s="599" t="str">
        <f>IF(ISNUMBER(VLOOKUP($B82,#REF!,5,0)),VLOOKUP($B82,#REF!,5,0),"")</f>
        <v/>
      </c>
      <c r="AJ82" s="599" t="str">
        <f>IF(ISNUMBER(VLOOKUP($B82,#REF!,6,0)),VLOOKUP($B82,#REF!,6,0),"")</f>
        <v/>
      </c>
      <c r="AK82" s="599" t="e">
        <f>VLOOKUP($B82,Skörd!$D$5:$M$72,7,0)</f>
        <v>#N/A</v>
      </c>
    </row>
    <row r="83" spans="2:37" hidden="1" x14ac:dyDescent="0.2">
      <c r="B83" s="596" t="s">
        <v>1095</v>
      </c>
      <c r="C83" s="598" t="str">
        <f>IF(ISNUMBER(VLOOKUP($B83,'F1'!$D$6:$G$73,2,0)),VLOOKUP($B83,'F1'!$D$6:$G$73,2,0),"")</f>
        <v/>
      </c>
      <c r="D83" s="599" t="str">
        <f>IF(ISNUMBER(VLOOKUP($B83,'F1'!$D$6:$G$73,3,0)),VLOOKUP($B83,'F1'!$D$6:$G$73,3,0),"")</f>
        <v/>
      </c>
      <c r="E83" s="599" t="str">
        <f>IF(ISNUMBER(VLOOKUP($B83,'F1'!$D$6:$G$73,4,0)),VLOOKUP($B83,'F1'!$D$6:$G$73,4,0),"")</f>
        <v/>
      </c>
      <c r="F83" s="598" t="str">
        <f>IF(ISNUMBER(VLOOKUP($B83,'F2'!$D$6:$G$73,2,0)),VLOOKUP($B83,'F2'!$D$6:$G$73,2,0),"")</f>
        <v/>
      </c>
      <c r="G83" s="599" t="str">
        <f>IF(ISNUMBER(VLOOKUP($B83,'F2'!$D$6:$G$73,3,0)),VLOOKUP($B83,'F2'!$D$6:$G$73,3,0),"")</f>
        <v/>
      </c>
      <c r="H83" s="599" t="str">
        <f>IF(ISNUMBER(VLOOKUP($B83,'F2'!$D$6:$G$73,4,0)),VLOOKUP($B83,'F2'!$D$6:$G$73,4,0),"")</f>
        <v/>
      </c>
      <c r="I83" s="598" t="str">
        <f>IF(ISNUMBER(VLOOKUP($B83,#REF!,2,0)),VLOOKUP($B83,#REF!,2,0),"")</f>
        <v/>
      </c>
      <c r="J83" s="599" t="str">
        <f>IF(ISNUMBER(VLOOKUP($B83,#REF!,3,0)),VLOOKUP($B83,#REF!,3,0),"")</f>
        <v/>
      </c>
      <c r="K83" s="599" t="str">
        <f>IF(ISNUMBER(VLOOKUP($B83,#REF!,4,0)),VLOOKUP($B83,#REF!,4,0),"")</f>
        <v/>
      </c>
      <c r="L83" s="598" t="str">
        <f>IF(ISNUMBER(VLOOKUP($B83,'G1'!$D$7:$M$74,2,0)),VLOOKUP($B83,'G1'!$D$7:$M$74,2,0),"")</f>
        <v/>
      </c>
      <c r="M83" s="599" t="str">
        <f>IF(ISNUMBER(VLOOKUP($B83,'G1'!$D$7:$M$74,3,0)),VLOOKUP($B83,'G1'!$D$7:$M$74,3,0),"")</f>
        <v/>
      </c>
      <c r="N83" s="599" t="str">
        <f>IF(ISNUMBER(VLOOKUP($B83,'G1'!$D$7:$M$74,4,0)),VLOOKUP($B83,'G1'!$D$7:$M$74,4,0),"")</f>
        <v/>
      </c>
      <c r="O83" s="599" t="str">
        <f>IF(ISNUMBER(VLOOKUP($B83,'G1'!$D$7:$M$74,5,0)),VLOOKUP($B83,'G1'!$D$7:$M$74,5,0),"")</f>
        <v/>
      </c>
      <c r="P83" s="599" t="str">
        <f>IF(ISNUMBER(VLOOKUP($B83,'G1'!$D$7:$M$74,6,0)),VLOOKUP($B83,'G1'!$D$7:$M$74,6,0),"")</f>
        <v/>
      </c>
      <c r="Q83" s="598" t="str">
        <f>IF(ISNUMBER(VLOOKUP($B83,'G2'!$D$7:$M$74,2,0)),VLOOKUP($B83,'G2'!$D$7:$M$74,2,0),"")</f>
        <v/>
      </c>
      <c r="R83" s="599" t="str">
        <f>IF(ISNUMBER(VLOOKUP($B83,'G2'!$D$7:$M$74,3,0)),VLOOKUP($B83,'G2'!$D$7:$M$74,3,0),"")</f>
        <v/>
      </c>
      <c r="S83" s="599" t="str">
        <f>IF(ISNUMBER(VLOOKUP($B83,'G2'!$D$7:$M$74,4,0)),VLOOKUP($B83,'G2'!$D$7:$M$74,4,0),"")</f>
        <v/>
      </c>
      <c r="T83" s="599" t="str">
        <f>IF(ISNUMBER(VLOOKUP($B83,'G2'!$D$7:$M$74,5,0)),VLOOKUP($B83,'G2'!$D$7:$M$74,5,0),"")</f>
        <v/>
      </c>
      <c r="U83" s="599" t="str">
        <f>IF(ISNUMBER(VLOOKUP($B83,'G2'!$D$7:$M$74,6,0)),VLOOKUP($B83,'G2'!$D$7:$M$74,6,0),"")</f>
        <v/>
      </c>
      <c r="V83" s="598" t="str">
        <f>IF(ISNUMBER(VLOOKUP($B83,'G3'!$D$7:$M$74,2,0)),VLOOKUP($B83,'G3'!$D$7:$M$74,2,0),"")</f>
        <v/>
      </c>
      <c r="W83" s="599" t="str">
        <f>IF(ISNUMBER(VLOOKUP($B83,'G3'!$D$7:$M$74,3,0)),VLOOKUP($B83,'G3'!$D$7:$M$74,3,0),"")</f>
        <v/>
      </c>
      <c r="X83" s="599" t="str">
        <f>IF(ISNUMBER(VLOOKUP($B83,'G3'!$D$7:$M$74,4,0)),VLOOKUP($B83,'G3'!$D$7:$M$74,4,0),"")</f>
        <v/>
      </c>
      <c r="Y83" s="599" t="str">
        <f>IF(ISNUMBER(VLOOKUP($B83,'G3'!$D$7:$M$74,5,0)),VLOOKUP($B83,'G3'!$D$7:$M$74,5,0),"")</f>
        <v/>
      </c>
      <c r="Z83" s="599" t="str">
        <f>IF(ISNUMBER(VLOOKUP($B83,'G3'!$D$7:$M$74,6,0)),VLOOKUP($B83,'G3'!$D$7:$M$74,6,0),"")</f>
        <v/>
      </c>
      <c r="AA83" s="598" t="str">
        <f>IF(ISNUMBER(VLOOKUP($B83,#REF!,2,0)),VLOOKUP($B83,#REF!,2,0),"")</f>
        <v/>
      </c>
      <c r="AB83" s="599" t="str">
        <f>IF(ISNUMBER(VLOOKUP($B83,#REF!,3,0)),VLOOKUP($B83,#REF!,3,0),"")</f>
        <v/>
      </c>
      <c r="AC83" s="599" t="str">
        <f>IF(ISNUMBER(VLOOKUP($B83,#REF!,4,0)),VLOOKUP($B83,#REF!,4,0),"")</f>
        <v/>
      </c>
      <c r="AD83" s="599" t="str">
        <f>IF(ISNUMBER(VLOOKUP($B83,#REF!,5,0)),VLOOKUP($B83,#REF!,5,0),"")</f>
        <v/>
      </c>
      <c r="AE83" s="599" t="str">
        <f>IF(ISNUMBER(VLOOKUP($B83,#REF!,6,0)),VLOOKUP($B83,#REF!,6,0),"")</f>
        <v/>
      </c>
      <c r="AF83" s="598" t="str">
        <f>IF(ISNUMBER(VLOOKUP($B83,#REF!,2,0)),VLOOKUP($B83,#REF!,2,0),"")</f>
        <v/>
      </c>
      <c r="AG83" s="599" t="str">
        <f>IF(ISNUMBER(VLOOKUP($B83,#REF!,3,0)),VLOOKUP($B83,#REF!,3,0),"")</f>
        <v/>
      </c>
      <c r="AH83" s="599" t="str">
        <f>IF(ISNUMBER(VLOOKUP($B83,#REF!,4,0)),VLOOKUP($B83,#REF!,4,0),"")</f>
        <v/>
      </c>
      <c r="AI83" s="599" t="str">
        <f>IF(ISNUMBER(VLOOKUP($B83,#REF!,5,0)),VLOOKUP($B83,#REF!,5,0),"")</f>
        <v/>
      </c>
      <c r="AJ83" s="599" t="str">
        <f>IF(ISNUMBER(VLOOKUP($B83,#REF!,6,0)),VLOOKUP($B83,#REF!,6,0),"")</f>
        <v/>
      </c>
      <c r="AK83" s="599" t="e">
        <f>VLOOKUP($B83,Skörd!$D$5:$M$72,7,0)</f>
        <v>#N/A</v>
      </c>
    </row>
    <row r="84" spans="2:37" hidden="1" x14ac:dyDescent="0.2">
      <c r="B84" s="596" t="s">
        <v>1096</v>
      </c>
      <c r="C84" s="598" t="str">
        <f>IF(ISNUMBER(VLOOKUP($B84,'F1'!$D$6:$G$73,2,0)),VLOOKUP($B84,'F1'!$D$6:$G$73,2,0),"")</f>
        <v/>
      </c>
      <c r="D84" s="599" t="str">
        <f>IF(ISNUMBER(VLOOKUP($B84,'F1'!$D$6:$G$73,3,0)),VLOOKUP($B84,'F1'!$D$6:$G$73,3,0),"")</f>
        <v/>
      </c>
      <c r="E84" s="599" t="str">
        <f>IF(ISNUMBER(VLOOKUP($B84,'F1'!$D$6:$G$73,4,0)),VLOOKUP($B84,'F1'!$D$6:$G$73,4,0),"")</f>
        <v/>
      </c>
      <c r="F84" s="598" t="str">
        <f>IF(ISNUMBER(VLOOKUP($B84,'F2'!$D$6:$G$73,2,0)),VLOOKUP($B84,'F2'!$D$6:$G$73,2,0),"")</f>
        <v/>
      </c>
      <c r="G84" s="599" t="str">
        <f>IF(ISNUMBER(VLOOKUP($B84,'F2'!$D$6:$G$73,3,0)),VLOOKUP($B84,'F2'!$D$6:$G$73,3,0),"")</f>
        <v/>
      </c>
      <c r="H84" s="599" t="str">
        <f>IF(ISNUMBER(VLOOKUP($B84,'F2'!$D$6:$G$73,4,0)),VLOOKUP($B84,'F2'!$D$6:$G$73,4,0),"")</f>
        <v/>
      </c>
      <c r="I84" s="598" t="str">
        <f>IF(ISNUMBER(VLOOKUP($B84,#REF!,2,0)),VLOOKUP($B84,#REF!,2,0),"")</f>
        <v/>
      </c>
      <c r="J84" s="599" t="str">
        <f>IF(ISNUMBER(VLOOKUP($B84,#REF!,3,0)),VLOOKUP($B84,#REF!,3,0),"")</f>
        <v/>
      </c>
      <c r="K84" s="599" t="str">
        <f>IF(ISNUMBER(VLOOKUP($B84,#REF!,4,0)),VLOOKUP($B84,#REF!,4,0),"")</f>
        <v/>
      </c>
      <c r="L84" s="598" t="str">
        <f>IF(ISNUMBER(VLOOKUP($B84,'G1'!$D$7:$M$74,2,0)),VLOOKUP($B84,'G1'!$D$7:$M$74,2,0),"")</f>
        <v/>
      </c>
      <c r="M84" s="599" t="str">
        <f>IF(ISNUMBER(VLOOKUP($B84,'G1'!$D$7:$M$74,3,0)),VLOOKUP($B84,'G1'!$D$7:$M$74,3,0),"")</f>
        <v/>
      </c>
      <c r="N84" s="599" t="str">
        <f>IF(ISNUMBER(VLOOKUP($B84,'G1'!$D$7:$M$74,4,0)),VLOOKUP($B84,'G1'!$D$7:$M$74,4,0),"")</f>
        <v/>
      </c>
      <c r="O84" s="599" t="str">
        <f>IF(ISNUMBER(VLOOKUP($B84,'G1'!$D$7:$M$74,5,0)),VLOOKUP($B84,'G1'!$D$7:$M$74,5,0),"")</f>
        <v/>
      </c>
      <c r="P84" s="599" t="str">
        <f>IF(ISNUMBER(VLOOKUP($B84,'G1'!$D$7:$M$74,6,0)),VLOOKUP($B84,'G1'!$D$7:$M$74,6,0),"")</f>
        <v/>
      </c>
      <c r="Q84" s="598" t="str">
        <f>IF(ISNUMBER(VLOOKUP($B84,'G2'!$D$7:$M$74,2,0)),VLOOKUP($B84,'G2'!$D$7:$M$74,2,0),"")</f>
        <v/>
      </c>
      <c r="R84" s="599" t="str">
        <f>IF(ISNUMBER(VLOOKUP($B84,'G2'!$D$7:$M$74,3,0)),VLOOKUP($B84,'G2'!$D$7:$M$74,3,0),"")</f>
        <v/>
      </c>
      <c r="S84" s="599" t="str">
        <f>IF(ISNUMBER(VLOOKUP($B84,'G2'!$D$7:$M$74,4,0)),VLOOKUP($B84,'G2'!$D$7:$M$74,4,0),"")</f>
        <v/>
      </c>
      <c r="T84" s="599" t="str">
        <f>IF(ISNUMBER(VLOOKUP($B84,'G2'!$D$7:$M$74,5,0)),VLOOKUP($B84,'G2'!$D$7:$M$74,5,0),"")</f>
        <v/>
      </c>
      <c r="U84" s="599" t="str">
        <f>IF(ISNUMBER(VLOOKUP($B84,'G2'!$D$7:$M$74,6,0)),VLOOKUP($B84,'G2'!$D$7:$M$74,6,0),"")</f>
        <v/>
      </c>
      <c r="V84" s="598" t="str">
        <f>IF(ISNUMBER(VLOOKUP($B84,'G3'!$D$7:$M$74,2,0)),VLOOKUP($B84,'G3'!$D$7:$M$74,2,0),"")</f>
        <v/>
      </c>
      <c r="W84" s="599" t="str">
        <f>IF(ISNUMBER(VLOOKUP($B84,'G3'!$D$7:$M$74,3,0)),VLOOKUP($B84,'G3'!$D$7:$M$74,3,0),"")</f>
        <v/>
      </c>
      <c r="X84" s="599" t="str">
        <f>IF(ISNUMBER(VLOOKUP($B84,'G3'!$D$7:$M$74,4,0)),VLOOKUP($B84,'G3'!$D$7:$M$74,4,0),"")</f>
        <v/>
      </c>
      <c r="Y84" s="599" t="str">
        <f>IF(ISNUMBER(VLOOKUP($B84,'G3'!$D$7:$M$74,5,0)),VLOOKUP($B84,'G3'!$D$7:$M$74,5,0),"")</f>
        <v/>
      </c>
      <c r="Z84" s="599" t="str">
        <f>IF(ISNUMBER(VLOOKUP($B84,'G3'!$D$7:$M$74,6,0)),VLOOKUP($B84,'G3'!$D$7:$M$74,6,0),"")</f>
        <v/>
      </c>
      <c r="AA84" s="598" t="str">
        <f>IF(ISNUMBER(VLOOKUP($B84,#REF!,2,0)),VLOOKUP($B84,#REF!,2,0),"")</f>
        <v/>
      </c>
      <c r="AB84" s="599" t="str">
        <f>IF(ISNUMBER(VLOOKUP($B84,#REF!,3,0)),VLOOKUP($B84,#REF!,3,0),"")</f>
        <v/>
      </c>
      <c r="AC84" s="599" t="str">
        <f>IF(ISNUMBER(VLOOKUP($B84,#REF!,4,0)),VLOOKUP($B84,#REF!,4,0),"")</f>
        <v/>
      </c>
      <c r="AD84" s="599" t="str">
        <f>IF(ISNUMBER(VLOOKUP($B84,#REF!,5,0)),VLOOKUP($B84,#REF!,5,0),"")</f>
        <v/>
      </c>
      <c r="AE84" s="599" t="str">
        <f>IF(ISNUMBER(VLOOKUP($B84,#REF!,6,0)),VLOOKUP($B84,#REF!,6,0),"")</f>
        <v/>
      </c>
      <c r="AF84" s="598" t="str">
        <f>IF(ISNUMBER(VLOOKUP($B84,#REF!,2,0)),VLOOKUP($B84,#REF!,2,0),"")</f>
        <v/>
      </c>
      <c r="AG84" s="599" t="str">
        <f>IF(ISNUMBER(VLOOKUP($B84,#REF!,3,0)),VLOOKUP($B84,#REF!,3,0),"")</f>
        <v/>
      </c>
      <c r="AH84" s="599" t="str">
        <f>IF(ISNUMBER(VLOOKUP($B84,#REF!,4,0)),VLOOKUP($B84,#REF!,4,0),"")</f>
        <v/>
      </c>
      <c r="AI84" s="599" t="str">
        <f>IF(ISNUMBER(VLOOKUP($B84,#REF!,5,0)),VLOOKUP($B84,#REF!,5,0),"")</f>
        <v/>
      </c>
      <c r="AJ84" s="599" t="str">
        <f>IF(ISNUMBER(VLOOKUP($B84,#REF!,6,0)),VLOOKUP($B84,#REF!,6,0),"")</f>
        <v/>
      </c>
      <c r="AK84" s="599" t="e">
        <f>VLOOKUP($B84,Skörd!$D$5:$M$72,7,0)</f>
        <v>#N/A</v>
      </c>
    </row>
    <row r="85" spans="2:37" hidden="1" x14ac:dyDescent="0.2">
      <c r="B85" s="596" t="s">
        <v>1097</v>
      </c>
      <c r="C85" s="598" t="str">
        <f>IF(ISNUMBER(VLOOKUP($B85,'F1'!$D$6:$G$73,2,0)),VLOOKUP($B85,'F1'!$D$6:$G$73,2,0),"")</f>
        <v/>
      </c>
      <c r="D85" s="599" t="str">
        <f>IF(ISNUMBER(VLOOKUP($B85,'F1'!$D$6:$G$73,3,0)),VLOOKUP($B85,'F1'!$D$6:$G$73,3,0),"")</f>
        <v/>
      </c>
      <c r="E85" s="599" t="str">
        <f>IF(ISNUMBER(VLOOKUP($B85,'F1'!$D$6:$G$73,4,0)),VLOOKUP($B85,'F1'!$D$6:$G$73,4,0),"")</f>
        <v/>
      </c>
      <c r="F85" s="598" t="str">
        <f>IF(ISNUMBER(VLOOKUP($B85,'F2'!$D$6:$G$73,2,0)),VLOOKUP($B85,'F2'!$D$6:$G$73,2,0),"")</f>
        <v/>
      </c>
      <c r="G85" s="599" t="str">
        <f>IF(ISNUMBER(VLOOKUP($B85,'F2'!$D$6:$G$73,3,0)),VLOOKUP($B85,'F2'!$D$6:$G$73,3,0),"")</f>
        <v/>
      </c>
      <c r="H85" s="599" t="str">
        <f>IF(ISNUMBER(VLOOKUP($B85,'F2'!$D$6:$G$73,4,0)),VLOOKUP($B85,'F2'!$D$6:$G$73,4,0),"")</f>
        <v/>
      </c>
      <c r="I85" s="598" t="str">
        <f>IF(ISNUMBER(VLOOKUP($B85,#REF!,2,0)),VLOOKUP($B85,#REF!,2,0),"")</f>
        <v/>
      </c>
      <c r="J85" s="599" t="str">
        <f>IF(ISNUMBER(VLOOKUP($B85,#REF!,3,0)),VLOOKUP($B85,#REF!,3,0),"")</f>
        <v/>
      </c>
      <c r="K85" s="599" t="str">
        <f>IF(ISNUMBER(VLOOKUP($B85,#REF!,4,0)),VLOOKUP($B85,#REF!,4,0),"")</f>
        <v/>
      </c>
      <c r="L85" s="598" t="str">
        <f>IF(ISNUMBER(VLOOKUP($B85,'G1'!$D$7:$M$74,2,0)),VLOOKUP($B85,'G1'!$D$7:$M$74,2,0),"")</f>
        <v/>
      </c>
      <c r="M85" s="599" t="str">
        <f>IF(ISNUMBER(VLOOKUP($B85,'G1'!$D$7:$M$74,3,0)),VLOOKUP($B85,'G1'!$D$7:$M$74,3,0),"")</f>
        <v/>
      </c>
      <c r="N85" s="599" t="str">
        <f>IF(ISNUMBER(VLOOKUP($B85,'G1'!$D$7:$M$74,4,0)),VLOOKUP($B85,'G1'!$D$7:$M$74,4,0),"")</f>
        <v/>
      </c>
      <c r="O85" s="599" t="str">
        <f>IF(ISNUMBER(VLOOKUP($B85,'G1'!$D$7:$M$74,5,0)),VLOOKUP($B85,'G1'!$D$7:$M$74,5,0),"")</f>
        <v/>
      </c>
      <c r="P85" s="599" t="str">
        <f>IF(ISNUMBER(VLOOKUP($B85,'G1'!$D$7:$M$74,6,0)),VLOOKUP($B85,'G1'!$D$7:$M$74,6,0),"")</f>
        <v/>
      </c>
      <c r="Q85" s="598" t="str">
        <f>IF(ISNUMBER(VLOOKUP($B85,'G2'!$D$7:$M$74,2,0)),VLOOKUP($B85,'G2'!$D$7:$M$74,2,0),"")</f>
        <v/>
      </c>
      <c r="R85" s="599" t="str">
        <f>IF(ISNUMBER(VLOOKUP($B85,'G2'!$D$7:$M$74,3,0)),VLOOKUP($B85,'G2'!$D$7:$M$74,3,0),"")</f>
        <v/>
      </c>
      <c r="S85" s="599" t="str">
        <f>IF(ISNUMBER(VLOOKUP($B85,'G2'!$D$7:$M$74,4,0)),VLOOKUP($B85,'G2'!$D$7:$M$74,4,0),"")</f>
        <v/>
      </c>
      <c r="T85" s="599" t="str">
        <f>IF(ISNUMBER(VLOOKUP($B85,'G2'!$D$7:$M$74,5,0)),VLOOKUP($B85,'G2'!$D$7:$M$74,5,0),"")</f>
        <v/>
      </c>
      <c r="U85" s="599" t="str">
        <f>IF(ISNUMBER(VLOOKUP($B85,'G2'!$D$7:$M$74,6,0)),VLOOKUP($B85,'G2'!$D$7:$M$74,6,0),"")</f>
        <v/>
      </c>
      <c r="V85" s="598" t="str">
        <f>IF(ISNUMBER(VLOOKUP($B85,'G3'!$D$7:$M$74,2,0)),VLOOKUP($B85,'G3'!$D$7:$M$74,2,0),"")</f>
        <v/>
      </c>
      <c r="W85" s="599" t="str">
        <f>IF(ISNUMBER(VLOOKUP($B85,'G3'!$D$7:$M$74,3,0)),VLOOKUP($B85,'G3'!$D$7:$M$74,3,0),"")</f>
        <v/>
      </c>
      <c r="X85" s="599" t="str">
        <f>IF(ISNUMBER(VLOOKUP($B85,'G3'!$D$7:$M$74,4,0)),VLOOKUP($B85,'G3'!$D$7:$M$74,4,0),"")</f>
        <v/>
      </c>
      <c r="Y85" s="599" t="str">
        <f>IF(ISNUMBER(VLOOKUP($B85,'G3'!$D$7:$M$74,5,0)),VLOOKUP($B85,'G3'!$D$7:$M$74,5,0),"")</f>
        <v/>
      </c>
      <c r="Z85" s="599" t="str">
        <f>IF(ISNUMBER(VLOOKUP($B85,'G3'!$D$7:$M$74,6,0)),VLOOKUP($B85,'G3'!$D$7:$M$74,6,0),"")</f>
        <v/>
      </c>
      <c r="AA85" s="598" t="str">
        <f>IF(ISNUMBER(VLOOKUP($B85,#REF!,2,0)),VLOOKUP($B85,#REF!,2,0),"")</f>
        <v/>
      </c>
      <c r="AB85" s="599" t="str">
        <f>IF(ISNUMBER(VLOOKUP($B85,#REF!,3,0)),VLOOKUP($B85,#REF!,3,0),"")</f>
        <v/>
      </c>
      <c r="AC85" s="599" t="str">
        <f>IF(ISNUMBER(VLOOKUP($B85,#REF!,4,0)),VLOOKUP($B85,#REF!,4,0),"")</f>
        <v/>
      </c>
      <c r="AD85" s="599" t="str">
        <f>IF(ISNUMBER(VLOOKUP($B85,#REF!,5,0)),VLOOKUP($B85,#REF!,5,0),"")</f>
        <v/>
      </c>
      <c r="AE85" s="599" t="str">
        <f>IF(ISNUMBER(VLOOKUP($B85,#REF!,6,0)),VLOOKUP($B85,#REF!,6,0),"")</f>
        <v/>
      </c>
      <c r="AF85" s="598" t="str">
        <f>IF(ISNUMBER(VLOOKUP($B85,#REF!,2,0)),VLOOKUP($B85,#REF!,2,0),"")</f>
        <v/>
      </c>
      <c r="AG85" s="599" t="str">
        <f>IF(ISNUMBER(VLOOKUP($B85,#REF!,3,0)),VLOOKUP($B85,#REF!,3,0),"")</f>
        <v/>
      </c>
      <c r="AH85" s="599" t="str">
        <f>IF(ISNUMBER(VLOOKUP($B85,#REF!,4,0)),VLOOKUP($B85,#REF!,4,0),"")</f>
        <v/>
      </c>
      <c r="AI85" s="599" t="str">
        <f>IF(ISNUMBER(VLOOKUP($B85,#REF!,5,0)),VLOOKUP($B85,#REF!,5,0),"")</f>
        <v/>
      </c>
      <c r="AJ85" s="599" t="str">
        <f>IF(ISNUMBER(VLOOKUP($B85,#REF!,6,0)),VLOOKUP($B85,#REF!,6,0),"")</f>
        <v/>
      </c>
      <c r="AK85" s="599" t="e">
        <f>VLOOKUP($B85,Skörd!$D$5:$M$72,7,0)</f>
        <v>#N/A</v>
      </c>
    </row>
    <row r="86" spans="2:37" hidden="1" x14ac:dyDescent="0.2">
      <c r="B86" s="596" t="s">
        <v>1098</v>
      </c>
      <c r="C86" s="598" t="str">
        <f>IF(ISNUMBER(VLOOKUP($B86,'F1'!$D$6:$G$73,2,0)),VLOOKUP($B86,'F1'!$D$6:$G$73,2,0),"")</f>
        <v/>
      </c>
      <c r="D86" s="599" t="str">
        <f>IF(ISNUMBER(VLOOKUP($B86,'F1'!$D$6:$G$73,3,0)),VLOOKUP($B86,'F1'!$D$6:$G$73,3,0),"")</f>
        <v/>
      </c>
      <c r="E86" s="599" t="str">
        <f>IF(ISNUMBER(VLOOKUP($B86,'F1'!$D$6:$G$73,4,0)),VLOOKUP($B86,'F1'!$D$6:$G$73,4,0),"")</f>
        <v/>
      </c>
      <c r="F86" s="598" t="str">
        <f>IF(ISNUMBER(VLOOKUP($B86,'F2'!$D$6:$G$73,2,0)),VLOOKUP($B86,'F2'!$D$6:$G$73,2,0),"")</f>
        <v/>
      </c>
      <c r="G86" s="599" t="str">
        <f>IF(ISNUMBER(VLOOKUP($B86,'F2'!$D$6:$G$73,3,0)),VLOOKUP($B86,'F2'!$D$6:$G$73,3,0),"")</f>
        <v/>
      </c>
      <c r="H86" s="599" t="str">
        <f>IF(ISNUMBER(VLOOKUP($B86,'F2'!$D$6:$G$73,4,0)),VLOOKUP($B86,'F2'!$D$6:$G$73,4,0),"")</f>
        <v/>
      </c>
      <c r="I86" s="598" t="str">
        <f>IF(ISNUMBER(VLOOKUP($B86,#REF!,2,0)),VLOOKUP($B86,#REF!,2,0),"")</f>
        <v/>
      </c>
      <c r="J86" s="599" t="str">
        <f>IF(ISNUMBER(VLOOKUP($B86,#REF!,3,0)),VLOOKUP($B86,#REF!,3,0),"")</f>
        <v/>
      </c>
      <c r="K86" s="599" t="str">
        <f>IF(ISNUMBER(VLOOKUP($B86,#REF!,4,0)),VLOOKUP($B86,#REF!,4,0),"")</f>
        <v/>
      </c>
      <c r="L86" s="598" t="str">
        <f>IF(ISNUMBER(VLOOKUP($B86,'G1'!$D$7:$M$74,2,0)),VLOOKUP($B86,'G1'!$D$7:$M$74,2,0),"")</f>
        <v/>
      </c>
      <c r="M86" s="599" t="str">
        <f>IF(ISNUMBER(VLOOKUP($B86,'G1'!$D$7:$M$74,3,0)),VLOOKUP($B86,'G1'!$D$7:$M$74,3,0),"")</f>
        <v/>
      </c>
      <c r="N86" s="599" t="str">
        <f>IF(ISNUMBER(VLOOKUP($B86,'G1'!$D$7:$M$74,4,0)),VLOOKUP($B86,'G1'!$D$7:$M$74,4,0),"")</f>
        <v/>
      </c>
      <c r="O86" s="599" t="str">
        <f>IF(ISNUMBER(VLOOKUP($B86,'G1'!$D$7:$M$74,5,0)),VLOOKUP($B86,'G1'!$D$7:$M$74,5,0),"")</f>
        <v/>
      </c>
      <c r="P86" s="599" t="str">
        <f>IF(ISNUMBER(VLOOKUP($B86,'G1'!$D$7:$M$74,6,0)),VLOOKUP($B86,'G1'!$D$7:$M$74,6,0),"")</f>
        <v/>
      </c>
      <c r="Q86" s="598" t="str">
        <f>IF(ISNUMBER(VLOOKUP($B86,'G2'!$D$7:$M$74,2,0)),VLOOKUP($B86,'G2'!$D$7:$M$74,2,0),"")</f>
        <v/>
      </c>
      <c r="R86" s="599" t="str">
        <f>IF(ISNUMBER(VLOOKUP($B86,'G2'!$D$7:$M$74,3,0)),VLOOKUP($B86,'G2'!$D$7:$M$74,3,0),"")</f>
        <v/>
      </c>
      <c r="S86" s="599" t="str">
        <f>IF(ISNUMBER(VLOOKUP($B86,'G2'!$D$7:$M$74,4,0)),VLOOKUP($B86,'G2'!$D$7:$M$74,4,0),"")</f>
        <v/>
      </c>
      <c r="T86" s="599" t="str">
        <f>IF(ISNUMBER(VLOOKUP($B86,'G2'!$D$7:$M$74,5,0)),VLOOKUP($B86,'G2'!$D$7:$M$74,5,0),"")</f>
        <v/>
      </c>
      <c r="U86" s="599" t="str">
        <f>IF(ISNUMBER(VLOOKUP($B86,'G2'!$D$7:$M$74,6,0)),VLOOKUP($B86,'G2'!$D$7:$M$74,6,0),"")</f>
        <v/>
      </c>
      <c r="V86" s="598" t="str">
        <f>IF(ISNUMBER(VLOOKUP($B86,'G3'!$D$7:$M$74,2,0)),VLOOKUP($B86,'G3'!$D$7:$M$74,2,0),"")</f>
        <v/>
      </c>
      <c r="W86" s="599" t="str">
        <f>IF(ISNUMBER(VLOOKUP($B86,'G3'!$D$7:$M$74,3,0)),VLOOKUP($B86,'G3'!$D$7:$M$74,3,0),"")</f>
        <v/>
      </c>
      <c r="X86" s="599" t="str">
        <f>IF(ISNUMBER(VLOOKUP($B86,'G3'!$D$7:$M$74,4,0)),VLOOKUP($B86,'G3'!$D$7:$M$74,4,0),"")</f>
        <v/>
      </c>
      <c r="Y86" s="599" t="str">
        <f>IF(ISNUMBER(VLOOKUP($B86,'G3'!$D$7:$M$74,5,0)),VLOOKUP($B86,'G3'!$D$7:$M$74,5,0),"")</f>
        <v/>
      </c>
      <c r="Z86" s="599" t="str">
        <f>IF(ISNUMBER(VLOOKUP($B86,'G3'!$D$7:$M$74,6,0)),VLOOKUP($B86,'G3'!$D$7:$M$74,6,0),"")</f>
        <v/>
      </c>
      <c r="AA86" s="598" t="str">
        <f>IF(ISNUMBER(VLOOKUP($B86,#REF!,2,0)),VLOOKUP($B86,#REF!,2,0),"")</f>
        <v/>
      </c>
      <c r="AB86" s="599" t="str">
        <f>IF(ISNUMBER(VLOOKUP($B86,#REF!,3,0)),VLOOKUP($B86,#REF!,3,0),"")</f>
        <v/>
      </c>
      <c r="AC86" s="599" t="str">
        <f>IF(ISNUMBER(VLOOKUP($B86,#REF!,4,0)),VLOOKUP($B86,#REF!,4,0),"")</f>
        <v/>
      </c>
      <c r="AD86" s="599" t="str">
        <f>IF(ISNUMBER(VLOOKUP($B86,#REF!,5,0)),VLOOKUP($B86,#REF!,5,0),"")</f>
        <v/>
      </c>
      <c r="AE86" s="599" t="str">
        <f>IF(ISNUMBER(VLOOKUP($B86,#REF!,6,0)),VLOOKUP($B86,#REF!,6,0),"")</f>
        <v/>
      </c>
      <c r="AF86" s="598" t="str">
        <f>IF(ISNUMBER(VLOOKUP($B86,#REF!,2,0)),VLOOKUP($B86,#REF!,2,0),"")</f>
        <v/>
      </c>
      <c r="AG86" s="599" t="str">
        <f>IF(ISNUMBER(VLOOKUP($B86,#REF!,3,0)),VLOOKUP($B86,#REF!,3,0),"")</f>
        <v/>
      </c>
      <c r="AH86" s="599" t="str">
        <f>IF(ISNUMBER(VLOOKUP($B86,#REF!,4,0)),VLOOKUP($B86,#REF!,4,0),"")</f>
        <v/>
      </c>
      <c r="AI86" s="599" t="str">
        <f>IF(ISNUMBER(VLOOKUP($B86,#REF!,5,0)),VLOOKUP($B86,#REF!,5,0),"")</f>
        <v/>
      </c>
      <c r="AJ86" s="599" t="str">
        <f>IF(ISNUMBER(VLOOKUP($B86,#REF!,6,0)),VLOOKUP($B86,#REF!,6,0),"")</f>
        <v/>
      </c>
      <c r="AK86" s="599" t="e">
        <f>VLOOKUP($B86,Skörd!$D$5:$M$72,7,0)</f>
        <v>#N/A</v>
      </c>
    </row>
    <row r="87" spans="2:37" hidden="1" x14ac:dyDescent="0.2">
      <c r="B87" s="596" t="s">
        <v>1099</v>
      </c>
      <c r="C87" s="598" t="str">
        <f>IF(ISNUMBER(VLOOKUP($B87,'F1'!$D$6:$G$73,2,0)),VLOOKUP($B87,'F1'!$D$6:$G$73,2,0),"")</f>
        <v/>
      </c>
      <c r="D87" s="599" t="str">
        <f>IF(ISNUMBER(VLOOKUP($B87,'F1'!$D$6:$G$73,3,0)),VLOOKUP($B87,'F1'!$D$6:$G$73,3,0),"")</f>
        <v/>
      </c>
      <c r="E87" s="599" t="str">
        <f>IF(ISNUMBER(VLOOKUP($B87,'F1'!$D$6:$G$73,4,0)),VLOOKUP($B87,'F1'!$D$6:$G$73,4,0),"")</f>
        <v/>
      </c>
      <c r="F87" s="598" t="str">
        <f>IF(ISNUMBER(VLOOKUP($B87,'F2'!$D$6:$G$73,2,0)),VLOOKUP($B87,'F2'!$D$6:$G$73,2,0),"")</f>
        <v/>
      </c>
      <c r="G87" s="599" t="str">
        <f>IF(ISNUMBER(VLOOKUP($B87,'F2'!$D$6:$G$73,3,0)),VLOOKUP($B87,'F2'!$D$6:$G$73,3,0),"")</f>
        <v/>
      </c>
      <c r="H87" s="599" t="str">
        <f>IF(ISNUMBER(VLOOKUP($B87,'F2'!$D$6:$G$73,4,0)),VLOOKUP($B87,'F2'!$D$6:$G$73,4,0),"")</f>
        <v/>
      </c>
      <c r="I87" s="598" t="str">
        <f>IF(ISNUMBER(VLOOKUP($B87,#REF!,2,0)),VLOOKUP($B87,#REF!,2,0),"")</f>
        <v/>
      </c>
      <c r="J87" s="599" t="str">
        <f>IF(ISNUMBER(VLOOKUP($B87,#REF!,3,0)),VLOOKUP($B87,#REF!,3,0),"")</f>
        <v/>
      </c>
      <c r="K87" s="599" t="str">
        <f>IF(ISNUMBER(VLOOKUP($B87,#REF!,4,0)),VLOOKUP($B87,#REF!,4,0),"")</f>
        <v/>
      </c>
      <c r="L87" s="598" t="str">
        <f>IF(ISNUMBER(VLOOKUP($B87,'G1'!$D$7:$M$74,2,0)),VLOOKUP($B87,'G1'!$D$7:$M$74,2,0),"")</f>
        <v/>
      </c>
      <c r="M87" s="599" t="str">
        <f>IF(ISNUMBER(VLOOKUP($B87,'G1'!$D$7:$M$74,3,0)),VLOOKUP($B87,'G1'!$D$7:$M$74,3,0),"")</f>
        <v/>
      </c>
      <c r="N87" s="599" t="str">
        <f>IF(ISNUMBER(VLOOKUP($B87,'G1'!$D$7:$M$74,4,0)),VLOOKUP($B87,'G1'!$D$7:$M$74,4,0),"")</f>
        <v/>
      </c>
      <c r="O87" s="599" t="str">
        <f>IF(ISNUMBER(VLOOKUP($B87,'G1'!$D$7:$M$74,5,0)),VLOOKUP($B87,'G1'!$D$7:$M$74,5,0),"")</f>
        <v/>
      </c>
      <c r="P87" s="599" t="str">
        <f>IF(ISNUMBER(VLOOKUP($B87,'G1'!$D$7:$M$74,6,0)),VLOOKUP($B87,'G1'!$D$7:$M$74,6,0),"")</f>
        <v/>
      </c>
      <c r="Q87" s="598" t="str">
        <f>IF(ISNUMBER(VLOOKUP($B87,'G2'!$D$7:$M$74,2,0)),VLOOKUP($B87,'G2'!$D$7:$M$74,2,0),"")</f>
        <v/>
      </c>
      <c r="R87" s="599" t="str">
        <f>IF(ISNUMBER(VLOOKUP($B87,'G2'!$D$7:$M$74,3,0)),VLOOKUP($B87,'G2'!$D$7:$M$74,3,0),"")</f>
        <v/>
      </c>
      <c r="S87" s="599" t="str">
        <f>IF(ISNUMBER(VLOOKUP($B87,'G2'!$D$7:$M$74,4,0)),VLOOKUP($B87,'G2'!$D$7:$M$74,4,0),"")</f>
        <v/>
      </c>
      <c r="T87" s="599" t="str">
        <f>IF(ISNUMBER(VLOOKUP($B87,'G2'!$D$7:$M$74,5,0)),VLOOKUP($B87,'G2'!$D$7:$M$74,5,0),"")</f>
        <v/>
      </c>
      <c r="U87" s="599" t="str">
        <f>IF(ISNUMBER(VLOOKUP($B87,'G2'!$D$7:$M$74,6,0)),VLOOKUP($B87,'G2'!$D$7:$M$74,6,0),"")</f>
        <v/>
      </c>
      <c r="V87" s="598" t="str">
        <f>IF(ISNUMBER(VLOOKUP($B87,'G3'!$D$7:$M$74,2,0)),VLOOKUP($B87,'G3'!$D$7:$M$74,2,0),"")</f>
        <v/>
      </c>
      <c r="W87" s="599" t="str">
        <f>IF(ISNUMBER(VLOOKUP($B87,'G3'!$D$7:$M$74,3,0)),VLOOKUP($B87,'G3'!$D$7:$M$74,3,0),"")</f>
        <v/>
      </c>
      <c r="X87" s="599" t="str">
        <f>IF(ISNUMBER(VLOOKUP($B87,'G3'!$D$7:$M$74,4,0)),VLOOKUP($B87,'G3'!$D$7:$M$74,4,0),"")</f>
        <v/>
      </c>
      <c r="Y87" s="599" t="str">
        <f>IF(ISNUMBER(VLOOKUP($B87,'G3'!$D$7:$M$74,5,0)),VLOOKUP($B87,'G3'!$D$7:$M$74,5,0),"")</f>
        <v/>
      </c>
      <c r="Z87" s="599" t="str">
        <f>IF(ISNUMBER(VLOOKUP($B87,'G3'!$D$7:$M$74,6,0)),VLOOKUP($B87,'G3'!$D$7:$M$74,6,0),"")</f>
        <v/>
      </c>
      <c r="AA87" s="598" t="str">
        <f>IF(ISNUMBER(VLOOKUP($B87,#REF!,2,0)),VLOOKUP($B87,#REF!,2,0),"")</f>
        <v/>
      </c>
      <c r="AB87" s="599" t="str">
        <f>IF(ISNUMBER(VLOOKUP($B87,#REF!,3,0)),VLOOKUP($B87,#REF!,3,0),"")</f>
        <v/>
      </c>
      <c r="AC87" s="599" t="str">
        <f>IF(ISNUMBER(VLOOKUP($B87,#REF!,4,0)),VLOOKUP($B87,#REF!,4,0),"")</f>
        <v/>
      </c>
      <c r="AD87" s="599" t="str">
        <f>IF(ISNUMBER(VLOOKUP($B87,#REF!,5,0)),VLOOKUP($B87,#REF!,5,0),"")</f>
        <v/>
      </c>
      <c r="AE87" s="599" t="str">
        <f>IF(ISNUMBER(VLOOKUP($B87,#REF!,6,0)),VLOOKUP($B87,#REF!,6,0),"")</f>
        <v/>
      </c>
      <c r="AF87" s="598" t="str">
        <f>IF(ISNUMBER(VLOOKUP($B87,#REF!,2,0)),VLOOKUP($B87,#REF!,2,0),"")</f>
        <v/>
      </c>
      <c r="AG87" s="599" t="str">
        <f>IF(ISNUMBER(VLOOKUP($B87,#REF!,3,0)),VLOOKUP($B87,#REF!,3,0),"")</f>
        <v/>
      </c>
      <c r="AH87" s="599" t="str">
        <f>IF(ISNUMBER(VLOOKUP($B87,#REF!,4,0)),VLOOKUP($B87,#REF!,4,0),"")</f>
        <v/>
      </c>
      <c r="AI87" s="599" t="str">
        <f>IF(ISNUMBER(VLOOKUP($B87,#REF!,5,0)),VLOOKUP($B87,#REF!,5,0),"")</f>
        <v/>
      </c>
      <c r="AJ87" s="599" t="str">
        <f>IF(ISNUMBER(VLOOKUP($B87,#REF!,6,0)),VLOOKUP($B87,#REF!,6,0),"")</f>
        <v/>
      </c>
      <c r="AK87" s="599" t="e">
        <f>VLOOKUP($B87,Skörd!$D$5:$M$72,7,0)</f>
        <v>#N/A</v>
      </c>
    </row>
    <row r="88" spans="2:37" hidden="1" x14ac:dyDescent="0.2">
      <c r="B88" s="596" t="s">
        <v>1100</v>
      </c>
      <c r="C88" s="598" t="str">
        <f>IF(ISNUMBER(VLOOKUP($B88,'F1'!$D$6:$G$73,2,0)),VLOOKUP($B88,'F1'!$D$6:$G$73,2,0),"")</f>
        <v/>
      </c>
      <c r="D88" s="599" t="str">
        <f>IF(ISNUMBER(VLOOKUP($B88,'F1'!$D$6:$G$73,3,0)),VLOOKUP($B88,'F1'!$D$6:$G$73,3,0),"")</f>
        <v/>
      </c>
      <c r="E88" s="599" t="str">
        <f>IF(ISNUMBER(VLOOKUP($B88,'F1'!$D$6:$G$73,4,0)),VLOOKUP($B88,'F1'!$D$6:$G$73,4,0),"")</f>
        <v/>
      </c>
      <c r="F88" s="598" t="str">
        <f>IF(ISNUMBER(VLOOKUP($B88,'F2'!$D$6:$G$73,2,0)),VLOOKUP($B88,'F2'!$D$6:$G$73,2,0),"")</f>
        <v/>
      </c>
      <c r="G88" s="599" t="str">
        <f>IF(ISNUMBER(VLOOKUP($B88,'F2'!$D$6:$G$73,3,0)),VLOOKUP($B88,'F2'!$D$6:$G$73,3,0),"")</f>
        <v/>
      </c>
      <c r="H88" s="599" t="str">
        <f>IF(ISNUMBER(VLOOKUP($B88,'F2'!$D$6:$G$73,4,0)),VLOOKUP($B88,'F2'!$D$6:$G$73,4,0),"")</f>
        <v/>
      </c>
      <c r="I88" s="598" t="str">
        <f>IF(ISNUMBER(VLOOKUP($B88,#REF!,2,0)),VLOOKUP($B88,#REF!,2,0),"")</f>
        <v/>
      </c>
      <c r="J88" s="599" t="str">
        <f>IF(ISNUMBER(VLOOKUP($B88,#REF!,3,0)),VLOOKUP($B88,#REF!,3,0),"")</f>
        <v/>
      </c>
      <c r="K88" s="599" t="str">
        <f>IF(ISNUMBER(VLOOKUP($B88,#REF!,4,0)),VLOOKUP($B88,#REF!,4,0),"")</f>
        <v/>
      </c>
      <c r="L88" s="598" t="str">
        <f>IF(ISNUMBER(VLOOKUP($B88,'G1'!$D$7:$M$74,2,0)),VLOOKUP($B88,'G1'!$D$7:$M$74,2,0),"")</f>
        <v/>
      </c>
      <c r="M88" s="599" t="str">
        <f>IF(ISNUMBER(VLOOKUP($B88,'G1'!$D$7:$M$74,3,0)),VLOOKUP($B88,'G1'!$D$7:$M$74,3,0),"")</f>
        <v/>
      </c>
      <c r="N88" s="599" t="str">
        <f>IF(ISNUMBER(VLOOKUP($B88,'G1'!$D$7:$M$74,4,0)),VLOOKUP($B88,'G1'!$D$7:$M$74,4,0),"")</f>
        <v/>
      </c>
      <c r="O88" s="599" t="str">
        <f>IF(ISNUMBER(VLOOKUP($B88,'G1'!$D$7:$M$74,5,0)),VLOOKUP($B88,'G1'!$D$7:$M$74,5,0),"")</f>
        <v/>
      </c>
      <c r="P88" s="599" t="str">
        <f>IF(ISNUMBER(VLOOKUP($B88,'G1'!$D$7:$M$74,6,0)),VLOOKUP($B88,'G1'!$D$7:$M$74,6,0),"")</f>
        <v/>
      </c>
      <c r="Q88" s="598" t="str">
        <f>IF(ISNUMBER(VLOOKUP($B88,'G2'!$D$7:$M$74,2,0)),VLOOKUP($B88,'G2'!$D$7:$M$74,2,0),"")</f>
        <v/>
      </c>
      <c r="R88" s="599" t="str">
        <f>IF(ISNUMBER(VLOOKUP($B88,'G2'!$D$7:$M$74,3,0)),VLOOKUP($B88,'G2'!$D$7:$M$74,3,0),"")</f>
        <v/>
      </c>
      <c r="S88" s="599" t="str">
        <f>IF(ISNUMBER(VLOOKUP($B88,'G2'!$D$7:$M$74,4,0)),VLOOKUP($B88,'G2'!$D$7:$M$74,4,0),"")</f>
        <v/>
      </c>
      <c r="T88" s="599" t="str">
        <f>IF(ISNUMBER(VLOOKUP($B88,'G2'!$D$7:$M$74,5,0)),VLOOKUP($B88,'G2'!$D$7:$M$74,5,0),"")</f>
        <v/>
      </c>
      <c r="U88" s="599" t="str">
        <f>IF(ISNUMBER(VLOOKUP($B88,'G2'!$D$7:$M$74,6,0)),VLOOKUP($B88,'G2'!$D$7:$M$74,6,0),"")</f>
        <v/>
      </c>
      <c r="V88" s="598" t="str">
        <f>IF(ISNUMBER(VLOOKUP($B88,'G3'!$D$7:$M$74,2,0)),VLOOKUP($B88,'G3'!$D$7:$M$74,2,0),"")</f>
        <v/>
      </c>
      <c r="W88" s="599" t="str">
        <f>IF(ISNUMBER(VLOOKUP($B88,'G3'!$D$7:$M$74,3,0)),VLOOKUP($B88,'G3'!$D$7:$M$74,3,0),"")</f>
        <v/>
      </c>
      <c r="X88" s="599" t="str">
        <f>IF(ISNUMBER(VLOOKUP($B88,'G3'!$D$7:$M$74,4,0)),VLOOKUP($B88,'G3'!$D$7:$M$74,4,0),"")</f>
        <v/>
      </c>
      <c r="Y88" s="599" t="str">
        <f>IF(ISNUMBER(VLOOKUP($B88,'G3'!$D$7:$M$74,5,0)),VLOOKUP($B88,'G3'!$D$7:$M$74,5,0),"")</f>
        <v/>
      </c>
      <c r="Z88" s="599" t="str">
        <f>IF(ISNUMBER(VLOOKUP($B88,'G3'!$D$7:$M$74,6,0)),VLOOKUP($B88,'G3'!$D$7:$M$74,6,0),"")</f>
        <v/>
      </c>
      <c r="AA88" s="598" t="str">
        <f>IF(ISNUMBER(VLOOKUP($B88,#REF!,2,0)),VLOOKUP($B88,#REF!,2,0),"")</f>
        <v/>
      </c>
      <c r="AB88" s="599" t="str">
        <f>IF(ISNUMBER(VLOOKUP($B88,#REF!,3,0)),VLOOKUP($B88,#REF!,3,0),"")</f>
        <v/>
      </c>
      <c r="AC88" s="599" t="str">
        <f>IF(ISNUMBER(VLOOKUP($B88,#REF!,4,0)),VLOOKUP($B88,#REF!,4,0),"")</f>
        <v/>
      </c>
      <c r="AD88" s="599" t="str">
        <f>IF(ISNUMBER(VLOOKUP($B88,#REF!,5,0)),VLOOKUP($B88,#REF!,5,0),"")</f>
        <v/>
      </c>
      <c r="AE88" s="599" t="str">
        <f>IF(ISNUMBER(VLOOKUP($B88,#REF!,6,0)),VLOOKUP($B88,#REF!,6,0),"")</f>
        <v/>
      </c>
      <c r="AF88" s="598" t="str">
        <f>IF(ISNUMBER(VLOOKUP($B88,#REF!,2,0)),VLOOKUP($B88,#REF!,2,0),"")</f>
        <v/>
      </c>
      <c r="AG88" s="599" t="str">
        <f>IF(ISNUMBER(VLOOKUP($B88,#REF!,3,0)),VLOOKUP($B88,#REF!,3,0),"")</f>
        <v/>
      </c>
      <c r="AH88" s="599" t="str">
        <f>IF(ISNUMBER(VLOOKUP($B88,#REF!,4,0)),VLOOKUP($B88,#REF!,4,0),"")</f>
        <v/>
      </c>
      <c r="AI88" s="599" t="str">
        <f>IF(ISNUMBER(VLOOKUP($B88,#REF!,5,0)),VLOOKUP($B88,#REF!,5,0),"")</f>
        <v/>
      </c>
      <c r="AJ88" s="599" t="str">
        <f>IF(ISNUMBER(VLOOKUP($B88,#REF!,6,0)),VLOOKUP($B88,#REF!,6,0),"")</f>
        <v/>
      </c>
      <c r="AK88" s="599" t="e">
        <f>VLOOKUP($B88,Skörd!$D$5:$M$72,7,0)</f>
        <v>#N/A</v>
      </c>
    </row>
    <row r="89" spans="2:37" hidden="1" x14ac:dyDescent="0.2">
      <c r="B89" s="596" t="s">
        <v>1101</v>
      </c>
      <c r="C89" s="598" t="str">
        <f>IF(ISNUMBER(VLOOKUP($B89,'F1'!$D$6:$G$73,2,0)),VLOOKUP($B89,'F1'!$D$6:$G$73,2,0),"")</f>
        <v/>
      </c>
      <c r="D89" s="599" t="str">
        <f>IF(ISNUMBER(VLOOKUP($B89,'F1'!$D$6:$G$73,3,0)),VLOOKUP($B89,'F1'!$D$6:$G$73,3,0),"")</f>
        <v/>
      </c>
      <c r="E89" s="599" t="str">
        <f>IF(ISNUMBER(VLOOKUP($B89,'F1'!$D$6:$G$73,4,0)),VLOOKUP($B89,'F1'!$D$6:$G$73,4,0),"")</f>
        <v/>
      </c>
      <c r="F89" s="598" t="str">
        <f>IF(ISNUMBER(VLOOKUP($B89,'F2'!$D$6:$G$73,2,0)),VLOOKUP($B89,'F2'!$D$6:$G$73,2,0),"")</f>
        <v/>
      </c>
      <c r="G89" s="599" t="str">
        <f>IF(ISNUMBER(VLOOKUP($B89,'F2'!$D$6:$G$73,3,0)),VLOOKUP($B89,'F2'!$D$6:$G$73,3,0),"")</f>
        <v/>
      </c>
      <c r="H89" s="599" t="str">
        <f>IF(ISNUMBER(VLOOKUP($B89,'F2'!$D$6:$G$73,4,0)),VLOOKUP($B89,'F2'!$D$6:$G$73,4,0),"")</f>
        <v/>
      </c>
      <c r="I89" s="598" t="str">
        <f>IF(ISNUMBER(VLOOKUP($B89,#REF!,2,0)),VLOOKUP($B89,#REF!,2,0),"")</f>
        <v/>
      </c>
      <c r="J89" s="599" t="str">
        <f>IF(ISNUMBER(VLOOKUP($B89,#REF!,3,0)),VLOOKUP($B89,#REF!,3,0),"")</f>
        <v/>
      </c>
      <c r="K89" s="599" t="str">
        <f>IF(ISNUMBER(VLOOKUP($B89,#REF!,4,0)),VLOOKUP($B89,#REF!,4,0),"")</f>
        <v/>
      </c>
      <c r="L89" s="598" t="str">
        <f>IF(ISNUMBER(VLOOKUP($B89,'G1'!$D$7:$M$74,2,0)),VLOOKUP($B89,'G1'!$D$7:$M$74,2,0),"")</f>
        <v/>
      </c>
      <c r="M89" s="599" t="str">
        <f>IF(ISNUMBER(VLOOKUP($B89,'G1'!$D$7:$M$74,3,0)),VLOOKUP($B89,'G1'!$D$7:$M$74,3,0),"")</f>
        <v/>
      </c>
      <c r="N89" s="599" t="str">
        <f>IF(ISNUMBER(VLOOKUP($B89,'G1'!$D$7:$M$74,4,0)),VLOOKUP($B89,'G1'!$D$7:$M$74,4,0),"")</f>
        <v/>
      </c>
      <c r="O89" s="599" t="str">
        <f>IF(ISNUMBER(VLOOKUP($B89,'G1'!$D$7:$M$74,5,0)),VLOOKUP($B89,'G1'!$D$7:$M$74,5,0),"")</f>
        <v/>
      </c>
      <c r="P89" s="599" t="str">
        <f>IF(ISNUMBER(VLOOKUP($B89,'G1'!$D$7:$M$74,6,0)),VLOOKUP($B89,'G1'!$D$7:$M$74,6,0),"")</f>
        <v/>
      </c>
      <c r="Q89" s="598" t="str">
        <f>IF(ISNUMBER(VLOOKUP($B89,'G2'!$D$7:$M$74,2,0)),VLOOKUP($B89,'G2'!$D$7:$M$74,2,0),"")</f>
        <v/>
      </c>
      <c r="R89" s="599" t="str">
        <f>IF(ISNUMBER(VLOOKUP($B89,'G2'!$D$7:$M$74,3,0)),VLOOKUP($B89,'G2'!$D$7:$M$74,3,0),"")</f>
        <v/>
      </c>
      <c r="S89" s="599" t="str">
        <f>IF(ISNUMBER(VLOOKUP($B89,'G2'!$D$7:$M$74,4,0)),VLOOKUP($B89,'G2'!$D$7:$M$74,4,0),"")</f>
        <v/>
      </c>
      <c r="T89" s="599" t="str">
        <f>IF(ISNUMBER(VLOOKUP($B89,'G2'!$D$7:$M$74,5,0)),VLOOKUP($B89,'G2'!$D$7:$M$74,5,0),"")</f>
        <v/>
      </c>
      <c r="U89" s="599" t="str">
        <f>IF(ISNUMBER(VLOOKUP($B89,'G2'!$D$7:$M$74,6,0)),VLOOKUP($B89,'G2'!$D$7:$M$74,6,0),"")</f>
        <v/>
      </c>
      <c r="V89" s="598" t="str">
        <f>IF(ISNUMBER(VLOOKUP($B89,'G3'!$D$7:$M$74,2,0)),VLOOKUP($B89,'G3'!$D$7:$M$74,2,0),"")</f>
        <v/>
      </c>
      <c r="W89" s="599" t="str">
        <f>IF(ISNUMBER(VLOOKUP($B89,'G3'!$D$7:$M$74,3,0)),VLOOKUP($B89,'G3'!$D$7:$M$74,3,0),"")</f>
        <v/>
      </c>
      <c r="X89" s="599" t="str">
        <f>IF(ISNUMBER(VLOOKUP($B89,'G3'!$D$7:$M$74,4,0)),VLOOKUP($B89,'G3'!$D$7:$M$74,4,0),"")</f>
        <v/>
      </c>
      <c r="Y89" s="599" t="str">
        <f>IF(ISNUMBER(VLOOKUP($B89,'G3'!$D$7:$M$74,5,0)),VLOOKUP($B89,'G3'!$D$7:$M$74,5,0),"")</f>
        <v/>
      </c>
      <c r="Z89" s="599" t="str">
        <f>IF(ISNUMBER(VLOOKUP($B89,'G3'!$D$7:$M$74,6,0)),VLOOKUP($B89,'G3'!$D$7:$M$74,6,0),"")</f>
        <v/>
      </c>
      <c r="AA89" s="598" t="str">
        <f>IF(ISNUMBER(VLOOKUP($B89,#REF!,2,0)),VLOOKUP($B89,#REF!,2,0),"")</f>
        <v/>
      </c>
      <c r="AB89" s="599" t="str">
        <f>IF(ISNUMBER(VLOOKUP($B89,#REF!,3,0)),VLOOKUP($B89,#REF!,3,0),"")</f>
        <v/>
      </c>
      <c r="AC89" s="599" t="str">
        <f>IF(ISNUMBER(VLOOKUP($B89,#REF!,4,0)),VLOOKUP($B89,#REF!,4,0),"")</f>
        <v/>
      </c>
      <c r="AD89" s="599" t="str">
        <f>IF(ISNUMBER(VLOOKUP($B89,#REF!,5,0)),VLOOKUP($B89,#REF!,5,0),"")</f>
        <v/>
      </c>
      <c r="AE89" s="599" t="str">
        <f>IF(ISNUMBER(VLOOKUP($B89,#REF!,6,0)),VLOOKUP($B89,#REF!,6,0),"")</f>
        <v/>
      </c>
      <c r="AF89" s="598" t="str">
        <f>IF(ISNUMBER(VLOOKUP($B89,#REF!,2,0)),VLOOKUP($B89,#REF!,2,0),"")</f>
        <v/>
      </c>
      <c r="AG89" s="599" t="str">
        <f>IF(ISNUMBER(VLOOKUP($B89,#REF!,3,0)),VLOOKUP($B89,#REF!,3,0),"")</f>
        <v/>
      </c>
      <c r="AH89" s="599" t="str">
        <f>IF(ISNUMBER(VLOOKUP($B89,#REF!,4,0)),VLOOKUP($B89,#REF!,4,0),"")</f>
        <v/>
      </c>
      <c r="AI89" s="599" t="str">
        <f>IF(ISNUMBER(VLOOKUP($B89,#REF!,5,0)),VLOOKUP($B89,#REF!,5,0),"")</f>
        <v/>
      </c>
      <c r="AJ89" s="599" t="str">
        <f>IF(ISNUMBER(VLOOKUP($B89,#REF!,6,0)),VLOOKUP($B89,#REF!,6,0),"")</f>
        <v/>
      </c>
      <c r="AK89" s="599" t="e">
        <f>VLOOKUP($B89,Skörd!$D$5:$M$72,7,0)</f>
        <v>#N/A</v>
      </c>
    </row>
    <row r="90" spans="2:37" hidden="1" x14ac:dyDescent="0.2">
      <c r="B90" s="596" t="s">
        <v>1102</v>
      </c>
      <c r="C90" s="598" t="str">
        <f>IF(ISNUMBER(VLOOKUP($B90,'F1'!$D$6:$G$73,2,0)),VLOOKUP($B90,'F1'!$D$6:$G$73,2,0),"")</f>
        <v/>
      </c>
      <c r="D90" s="599" t="str">
        <f>IF(ISNUMBER(VLOOKUP($B90,'F1'!$D$6:$G$73,3,0)),VLOOKUP($B90,'F1'!$D$6:$G$73,3,0),"")</f>
        <v/>
      </c>
      <c r="E90" s="599" t="str">
        <f>IF(ISNUMBER(VLOOKUP($B90,'F1'!$D$6:$G$73,4,0)),VLOOKUP($B90,'F1'!$D$6:$G$73,4,0),"")</f>
        <v/>
      </c>
      <c r="F90" s="598" t="str">
        <f>IF(ISNUMBER(VLOOKUP($B90,'F2'!$D$6:$G$73,2,0)),VLOOKUP($B90,'F2'!$D$6:$G$73,2,0),"")</f>
        <v/>
      </c>
      <c r="G90" s="599" t="str">
        <f>IF(ISNUMBER(VLOOKUP($B90,'F2'!$D$6:$G$73,3,0)),VLOOKUP($B90,'F2'!$D$6:$G$73,3,0),"")</f>
        <v/>
      </c>
      <c r="H90" s="599" t="str">
        <f>IF(ISNUMBER(VLOOKUP($B90,'F2'!$D$6:$G$73,4,0)),VLOOKUP($B90,'F2'!$D$6:$G$73,4,0),"")</f>
        <v/>
      </c>
      <c r="I90" s="598" t="str">
        <f>IF(ISNUMBER(VLOOKUP($B90,#REF!,2,0)),VLOOKUP($B90,#REF!,2,0),"")</f>
        <v/>
      </c>
      <c r="J90" s="599" t="str">
        <f>IF(ISNUMBER(VLOOKUP($B90,#REF!,3,0)),VLOOKUP($B90,#REF!,3,0),"")</f>
        <v/>
      </c>
      <c r="K90" s="599" t="str">
        <f>IF(ISNUMBER(VLOOKUP($B90,#REF!,4,0)),VLOOKUP($B90,#REF!,4,0),"")</f>
        <v/>
      </c>
      <c r="L90" s="598" t="str">
        <f>IF(ISNUMBER(VLOOKUP($B90,'G1'!$D$7:$M$74,2,0)),VLOOKUP($B90,'G1'!$D$7:$M$74,2,0),"")</f>
        <v/>
      </c>
      <c r="M90" s="599" t="str">
        <f>IF(ISNUMBER(VLOOKUP($B90,'G1'!$D$7:$M$74,3,0)),VLOOKUP($B90,'G1'!$D$7:$M$74,3,0),"")</f>
        <v/>
      </c>
      <c r="N90" s="599" t="str">
        <f>IF(ISNUMBER(VLOOKUP($B90,'G1'!$D$7:$M$74,4,0)),VLOOKUP($B90,'G1'!$D$7:$M$74,4,0),"")</f>
        <v/>
      </c>
      <c r="O90" s="599" t="str">
        <f>IF(ISNUMBER(VLOOKUP($B90,'G1'!$D$7:$M$74,5,0)),VLOOKUP($B90,'G1'!$D$7:$M$74,5,0),"")</f>
        <v/>
      </c>
      <c r="P90" s="599" t="str">
        <f>IF(ISNUMBER(VLOOKUP($B90,'G1'!$D$7:$M$74,6,0)),VLOOKUP($B90,'G1'!$D$7:$M$74,6,0),"")</f>
        <v/>
      </c>
      <c r="Q90" s="598" t="str">
        <f>IF(ISNUMBER(VLOOKUP($B90,'G2'!$D$7:$M$74,2,0)),VLOOKUP($B90,'G2'!$D$7:$M$74,2,0),"")</f>
        <v/>
      </c>
      <c r="R90" s="599" t="str">
        <f>IF(ISNUMBER(VLOOKUP($B90,'G2'!$D$7:$M$74,3,0)),VLOOKUP($B90,'G2'!$D$7:$M$74,3,0),"")</f>
        <v/>
      </c>
      <c r="S90" s="599" t="str">
        <f>IF(ISNUMBER(VLOOKUP($B90,'G2'!$D$7:$M$74,4,0)),VLOOKUP($B90,'G2'!$D$7:$M$74,4,0),"")</f>
        <v/>
      </c>
      <c r="T90" s="599" t="str">
        <f>IF(ISNUMBER(VLOOKUP($B90,'G2'!$D$7:$M$74,5,0)),VLOOKUP($B90,'G2'!$D$7:$M$74,5,0),"")</f>
        <v/>
      </c>
      <c r="U90" s="599" t="str">
        <f>IF(ISNUMBER(VLOOKUP($B90,'G2'!$D$7:$M$74,6,0)),VLOOKUP($B90,'G2'!$D$7:$M$74,6,0),"")</f>
        <v/>
      </c>
      <c r="V90" s="598" t="str">
        <f>IF(ISNUMBER(VLOOKUP($B90,'G3'!$D$7:$M$74,2,0)),VLOOKUP($B90,'G3'!$D$7:$M$74,2,0),"")</f>
        <v/>
      </c>
      <c r="W90" s="599" t="str">
        <f>IF(ISNUMBER(VLOOKUP($B90,'G3'!$D$7:$M$74,3,0)),VLOOKUP($B90,'G3'!$D$7:$M$74,3,0),"")</f>
        <v/>
      </c>
      <c r="X90" s="599" t="str">
        <f>IF(ISNUMBER(VLOOKUP($B90,'G3'!$D$7:$M$74,4,0)),VLOOKUP($B90,'G3'!$D$7:$M$74,4,0),"")</f>
        <v/>
      </c>
      <c r="Y90" s="599" t="str">
        <f>IF(ISNUMBER(VLOOKUP($B90,'G3'!$D$7:$M$74,5,0)),VLOOKUP($B90,'G3'!$D$7:$M$74,5,0),"")</f>
        <v/>
      </c>
      <c r="Z90" s="599" t="str">
        <f>IF(ISNUMBER(VLOOKUP($B90,'G3'!$D$7:$M$74,6,0)),VLOOKUP($B90,'G3'!$D$7:$M$74,6,0),"")</f>
        <v/>
      </c>
      <c r="AA90" s="598" t="str">
        <f>IF(ISNUMBER(VLOOKUP($B90,#REF!,2,0)),VLOOKUP($B90,#REF!,2,0),"")</f>
        <v/>
      </c>
      <c r="AB90" s="599" t="str">
        <f>IF(ISNUMBER(VLOOKUP($B90,#REF!,3,0)),VLOOKUP($B90,#REF!,3,0),"")</f>
        <v/>
      </c>
      <c r="AC90" s="599" t="str">
        <f>IF(ISNUMBER(VLOOKUP($B90,#REF!,4,0)),VLOOKUP($B90,#REF!,4,0),"")</f>
        <v/>
      </c>
      <c r="AD90" s="599" t="str">
        <f>IF(ISNUMBER(VLOOKUP($B90,#REF!,5,0)),VLOOKUP($B90,#REF!,5,0),"")</f>
        <v/>
      </c>
      <c r="AE90" s="599" t="str">
        <f>IF(ISNUMBER(VLOOKUP($B90,#REF!,6,0)),VLOOKUP($B90,#REF!,6,0),"")</f>
        <v/>
      </c>
      <c r="AF90" s="598" t="str">
        <f>IF(ISNUMBER(VLOOKUP($B90,#REF!,2,0)),VLOOKUP($B90,#REF!,2,0),"")</f>
        <v/>
      </c>
      <c r="AG90" s="599" t="str">
        <f>IF(ISNUMBER(VLOOKUP($B90,#REF!,3,0)),VLOOKUP($B90,#REF!,3,0),"")</f>
        <v/>
      </c>
      <c r="AH90" s="599" t="str">
        <f>IF(ISNUMBER(VLOOKUP($B90,#REF!,4,0)),VLOOKUP($B90,#REF!,4,0),"")</f>
        <v/>
      </c>
      <c r="AI90" s="599" t="str">
        <f>IF(ISNUMBER(VLOOKUP($B90,#REF!,5,0)),VLOOKUP($B90,#REF!,5,0),"")</f>
        <v/>
      </c>
      <c r="AJ90" s="599" t="str">
        <f>IF(ISNUMBER(VLOOKUP($B90,#REF!,6,0)),VLOOKUP($B90,#REF!,6,0),"")</f>
        <v/>
      </c>
      <c r="AK90" s="599" t="e">
        <f>VLOOKUP($B90,Skörd!$D$5:$M$72,7,0)</f>
        <v>#N/A</v>
      </c>
    </row>
    <row r="91" spans="2:37" hidden="1" x14ac:dyDescent="0.2">
      <c r="B91" s="596" t="s">
        <v>1103</v>
      </c>
      <c r="C91" s="598" t="str">
        <f>IF(ISNUMBER(VLOOKUP($B91,'F1'!$D$6:$G$73,2,0)),VLOOKUP($B91,'F1'!$D$6:$G$73,2,0),"")</f>
        <v/>
      </c>
      <c r="D91" s="599" t="str">
        <f>IF(ISNUMBER(VLOOKUP($B91,'F1'!$D$6:$G$73,3,0)),VLOOKUP($B91,'F1'!$D$6:$G$73,3,0),"")</f>
        <v/>
      </c>
      <c r="E91" s="599" t="str">
        <f>IF(ISNUMBER(VLOOKUP($B91,'F1'!$D$6:$G$73,4,0)),VLOOKUP($B91,'F1'!$D$6:$G$73,4,0),"")</f>
        <v/>
      </c>
      <c r="F91" s="598" t="str">
        <f>IF(ISNUMBER(VLOOKUP($B91,'F2'!$D$6:$G$73,2,0)),VLOOKUP($B91,'F2'!$D$6:$G$73,2,0),"")</f>
        <v/>
      </c>
      <c r="G91" s="599" t="str">
        <f>IF(ISNUMBER(VLOOKUP($B91,'F2'!$D$6:$G$73,3,0)),VLOOKUP($B91,'F2'!$D$6:$G$73,3,0),"")</f>
        <v/>
      </c>
      <c r="H91" s="599" t="str">
        <f>IF(ISNUMBER(VLOOKUP($B91,'F2'!$D$6:$G$73,4,0)),VLOOKUP($B91,'F2'!$D$6:$G$73,4,0),"")</f>
        <v/>
      </c>
      <c r="I91" s="598" t="str">
        <f>IF(ISNUMBER(VLOOKUP($B91,#REF!,2,0)),VLOOKUP($B91,#REF!,2,0),"")</f>
        <v/>
      </c>
      <c r="J91" s="599" t="str">
        <f>IF(ISNUMBER(VLOOKUP($B91,#REF!,3,0)),VLOOKUP($B91,#REF!,3,0),"")</f>
        <v/>
      </c>
      <c r="K91" s="599" t="str">
        <f>IF(ISNUMBER(VLOOKUP($B91,#REF!,4,0)),VLOOKUP($B91,#REF!,4,0),"")</f>
        <v/>
      </c>
      <c r="L91" s="598" t="str">
        <f>IF(ISNUMBER(VLOOKUP($B91,'G1'!$D$7:$M$74,2,0)),VLOOKUP($B91,'G1'!$D$7:$M$74,2,0),"")</f>
        <v/>
      </c>
      <c r="M91" s="599" t="str">
        <f>IF(ISNUMBER(VLOOKUP($B91,'G1'!$D$7:$M$74,3,0)),VLOOKUP($B91,'G1'!$D$7:$M$74,3,0),"")</f>
        <v/>
      </c>
      <c r="N91" s="599" t="str">
        <f>IF(ISNUMBER(VLOOKUP($B91,'G1'!$D$7:$M$74,4,0)),VLOOKUP($B91,'G1'!$D$7:$M$74,4,0),"")</f>
        <v/>
      </c>
      <c r="O91" s="599" t="str">
        <f>IF(ISNUMBER(VLOOKUP($B91,'G1'!$D$7:$M$74,5,0)),VLOOKUP($B91,'G1'!$D$7:$M$74,5,0),"")</f>
        <v/>
      </c>
      <c r="P91" s="599" t="str">
        <f>IF(ISNUMBER(VLOOKUP($B91,'G1'!$D$7:$M$74,6,0)),VLOOKUP($B91,'G1'!$D$7:$M$74,6,0),"")</f>
        <v/>
      </c>
      <c r="Q91" s="598" t="str">
        <f>IF(ISNUMBER(VLOOKUP($B91,'G2'!$D$7:$M$74,2,0)),VLOOKUP($B91,'G2'!$D$7:$M$74,2,0),"")</f>
        <v/>
      </c>
      <c r="R91" s="599" t="str">
        <f>IF(ISNUMBER(VLOOKUP($B91,'G2'!$D$7:$M$74,3,0)),VLOOKUP($B91,'G2'!$D$7:$M$74,3,0),"")</f>
        <v/>
      </c>
      <c r="S91" s="599" t="str">
        <f>IF(ISNUMBER(VLOOKUP($B91,'G2'!$D$7:$M$74,4,0)),VLOOKUP($B91,'G2'!$D$7:$M$74,4,0),"")</f>
        <v/>
      </c>
      <c r="T91" s="599" t="str">
        <f>IF(ISNUMBER(VLOOKUP($B91,'G2'!$D$7:$M$74,5,0)),VLOOKUP($B91,'G2'!$D$7:$M$74,5,0),"")</f>
        <v/>
      </c>
      <c r="U91" s="599" t="str">
        <f>IF(ISNUMBER(VLOOKUP($B91,'G2'!$D$7:$M$74,6,0)),VLOOKUP($B91,'G2'!$D$7:$M$74,6,0),"")</f>
        <v/>
      </c>
      <c r="V91" s="598" t="str">
        <f>IF(ISNUMBER(VLOOKUP($B91,'G3'!$D$7:$M$74,2,0)),VLOOKUP($B91,'G3'!$D$7:$M$74,2,0),"")</f>
        <v/>
      </c>
      <c r="W91" s="599" t="str">
        <f>IF(ISNUMBER(VLOOKUP($B91,'G3'!$D$7:$M$74,3,0)),VLOOKUP($B91,'G3'!$D$7:$M$74,3,0),"")</f>
        <v/>
      </c>
      <c r="X91" s="599" t="str">
        <f>IF(ISNUMBER(VLOOKUP($B91,'G3'!$D$7:$M$74,4,0)),VLOOKUP($B91,'G3'!$D$7:$M$74,4,0),"")</f>
        <v/>
      </c>
      <c r="Y91" s="599" t="str">
        <f>IF(ISNUMBER(VLOOKUP($B91,'G3'!$D$7:$M$74,5,0)),VLOOKUP($B91,'G3'!$D$7:$M$74,5,0),"")</f>
        <v/>
      </c>
      <c r="Z91" s="599" t="str">
        <f>IF(ISNUMBER(VLOOKUP($B91,'G3'!$D$7:$M$74,6,0)),VLOOKUP($B91,'G3'!$D$7:$M$74,6,0),"")</f>
        <v/>
      </c>
      <c r="AA91" s="598" t="str">
        <f>IF(ISNUMBER(VLOOKUP($B91,#REF!,2,0)),VLOOKUP($B91,#REF!,2,0),"")</f>
        <v/>
      </c>
      <c r="AB91" s="599" t="str">
        <f>IF(ISNUMBER(VLOOKUP($B91,#REF!,3,0)),VLOOKUP($B91,#REF!,3,0),"")</f>
        <v/>
      </c>
      <c r="AC91" s="599" t="str">
        <f>IF(ISNUMBER(VLOOKUP($B91,#REF!,4,0)),VLOOKUP($B91,#REF!,4,0),"")</f>
        <v/>
      </c>
      <c r="AD91" s="599" t="str">
        <f>IF(ISNUMBER(VLOOKUP($B91,#REF!,5,0)),VLOOKUP($B91,#REF!,5,0),"")</f>
        <v/>
      </c>
      <c r="AE91" s="599" t="str">
        <f>IF(ISNUMBER(VLOOKUP($B91,#REF!,6,0)),VLOOKUP($B91,#REF!,6,0),"")</f>
        <v/>
      </c>
      <c r="AF91" s="598" t="str">
        <f>IF(ISNUMBER(VLOOKUP($B91,#REF!,2,0)),VLOOKUP($B91,#REF!,2,0),"")</f>
        <v/>
      </c>
      <c r="AG91" s="599" t="str">
        <f>IF(ISNUMBER(VLOOKUP($B91,#REF!,3,0)),VLOOKUP($B91,#REF!,3,0),"")</f>
        <v/>
      </c>
      <c r="AH91" s="599" t="str">
        <f>IF(ISNUMBER(VLOOKUP($B91,#REF!,4,0)),VLOOKUP($B91,#REF!,4,0),"")</f>
        <v/>
      </c>
      <c r="AI91" s="599" t="str">
        <f>IF(ISNUMBER(VLOOKUP($B91,#REF!,5,0)),VLOOKUP($B91,#REF!,5,0),"")</f>
        <v/>
      </c>
      <c r="AJ91" s="599" t="str">
        <f>IF(ISNUMBER(VLOOKUP($B91,#REF!,6,0)),VLOOKUP($B91,#REF!,6,0),"")</f>
        <v/>
      </c>
      <c r="AK91" s="599" t="e">
        <f>VLOOKUP($B91,Skörd!$D$5:$M$72,7,0)</f>
        <v>#N/A</v>
      </c>
    </row>
    <row r="92" spans="2:37" hidden="1" x14ac:dyDescent="0.2">
      <c r="B92" s="596" t="s">
        <v>1104</v>
      </c>
      <c r="C92" s="598" t="str">
        <f>IF(ISNUMBER(VLOOKUP($B92,'F1'!$D$6:$G$73,2,0)),VLOOKUP($B92,'F1'!$D$6:$G$73,2,0),"")</f>
        <v/>
      </c>
      <c r="D92" s="599" t="str">
        <f>IF(ISNUMBER(VLOOKUP($B92,'F1'!$D$6:$G$73,3,0)),VLOOKUP($B92,'F1'!$D$6:$G$73,3,0),"")</f>
        <v/>
      </c>
      <c r="E92" s="599" t="str">
        <f>IF(ISNUMBER(VLOOKUP($B92,'F1'!$D$6:$G$73,4,0)),VLOOKUP($B92,'F1'!$D$6:$G$73,4,0),"")</f>
        <v/>
      </c>
      <c r="F92" s="598" t="str">
        <f>IF(ISNUMBER(VLOOKUP($B92,'F2'!$D$6:$G$73,2,0)),VLOOKUP($B92,'F2'!$D$6:$G$73,2,0),"")</f>
        <v/>
      </c>
      <c r="G92" s="599" t="str">
        <f>IF(ISNUMBER(VLOOKUP($B92,'F2'!$D$6:$G$73,3,0)),VLOOKUP($B92,'F2'!$D$6:$G$73,3,0),"")</f>
        <v/>
      </c>
      <c r="H92" s="599" t="str">
        <f>IF(ISNUMBER(VLOOKUP($B92,'F2'!$D$6:$G$73,4,0)),VLOOKUP($B92,'F2'!$D$6:$G$73,4,0),"")</f>
        <v/>
      </c>
      <c r="I92" s="598" t="str">
        <f>IF(ISNUMBER(VLOOKUP($B92,#REF!,2,0)),VLOOKUP($B92,#REF!,2,0),"")</f>
        <v/>
      </c>
      <c r="J92" s="599" t="str">
        <f>IF(ISNUMBER(VLOOKUP($B92,#REF!,3,0)),VLOOKUP($B92,#REF!,3,0),"")</f>
        <v/>
      </c>
      <c r="K92" s="599" t="str">
        <f>IF(ISNUMBER(VLOOKUP($B92,#REF!,4,0)),VLOOKUP($B92,#REF!,4,0),"")</f>
        <v/>
      </c>
      <c r="L92" s="598" t="str">
        <f>IF(ISNUMBER(VLOOKUP($B92,'G1'!$D$7:$M$74,2,0)),VLOOKUP($B92,'G1'!$D$7:$M$74,2,0),"")</f>
        <v/>
      </c>
      <c r="M92" s="599" t="str">
        <f>IF(ISNUMBER(VLOOKUP($B92,'G1'!$D$7:$M$74,3,0)),VLOOKUP($B92,'G1'!$D$7:$M$74,3,0),"")</f>
        <v/>
      </c>
      <c r="N92" s="599" t="str">
        <f>IF(ISNUMBER(VLOOKUP($B92,'G1'!$D$7:$M$74,4,0)),VLOOKUP($B92,'G1'!$D$7:$M$74,4,0),"")</f>
        <v/>
      </c>
      <c r="O92" s="599" t="str">
        <f>IF(ISNUMBER(VLOOKUP($B92,'G1'!$D$7:$M$74,5,0)),VLOOKUP($B92,'G1'!$D$7:$M$74,5,0),"")</f>
        <v/>
      </c>
      <c r="P92" s="599" t="str">
        <f>IF(ISNUMBER(VLOOKUP($B92,'G1'!$D$7:$M$74,6,0)),VLOOKUP($B92,'G1'!$D$7:$M$74,6,0),"")</f>
        <v/>
      </c>
      <c r="Q92" s="598" t="str">
        <f>IF(ISNUMBER(VLOOKUP($B92,'G2'!$D$7:$M$74,2,0)),VLOOKUP($B92,'G2'!$D$7:$M$74,2,0),"")</f>
        <v/>
      </c>
      <c r="R92" s="599" t="str">
        <f>IF(ISNUMBER(VLOOKUP($B92,'G2'!$D$7:$M$74,3,0)),VLOOKUP($B92,'G2'!$D$7:$M$74,3,0),"")</f>
        <v/>
      </c>
      <c r="S92" s="599" t="str">
        <f>IF(ISNUMBER(VLOOKUP($B92,'G2'!$D$7:$M$74,4,0)),VLOOKUP($B92,'G2'!$D$7:$M$74,4,0),"")</f>
        <v/>
      </c>
      <c r="T92" s="599" t="str">
        <f>IF(ISNUMBER(VLOOKUP($B92,'G2'!$D$7:$M$74,5,0)),VLOOKUP($B92,'G2'!$D$7:$M$74,5,0),"")</f>
        <v/>
      </c>
      <c r="U92" s="599" t="str">
        <f>IF(ISNUMBER(VLOOKUP($B92,'G2'!$D$7:$M$74,6,0)),VLOOKUP($B92,'G2'!$D$7:$M$74,6,0),"")</f>
        <v/>
      </c>
      <c r="V92" s="598" t="str">
        <f>IF(ISNUMBER(VLOOKUP($B92,'G3'!$D$7:$M$74,2,0)),VLOOKUP($B92,'G3'!$D$7:$M$74,2,0),"")</f>
        <v/>
      </c>
      <c r="W92" s="599" t="str">
        <f>IF(ISNUMBER(VLOOKUP($B92,'G3'!$D$7:$M$74,3,0)),VLOOKUP($B92,'G3'!$D$7:$M$74,3,0),"")</f>
        <v/>
      </c>
      <c r="X92" s="599" t="str">
        <f>IF(ISNUMBER(VLOOKUP($B92,'G3'!$D$7:$M$74,4,0)),VLOOKUP($B92,'G3'!$D$7:$M$74,4,0),"")</f>
        <v/>
      </c>
      <c r="Y92" s="599" t="str">
        <f>IF(ISNUMBER(VLOOKUP($B92,'G3'!$D$7:$M$74,5,0)),VLOOKUP($B92,'G3'!$D$7:$M$74,5,0),"")</f>
        <v/>
      </c>
      <c r="Z92" s="599" t="str">
        <f>IF(ISNUMBER(VLOOKUP($B92,'G3'!$D$7:$M$74,6,0)),VLOOKUP($B92,'G3'!$D$7:$M$74,6,0),"")</f>
        <v/>
      </c>
      <c r="AA92" s="598" t="str">
        <f>IF(ISNUMBER(VLOOKUP($B92,#REF!,2,0)),VLOOKUP($B92,#REF!,2,0),"")</f>
        <v/>
      </c>
      <c r="AB92" s="599" t="str">
        <f>IF(ISNUMBER(VLOOKUP($B92,#REF!,3,0)),VLOOKUP($B92,#REF!,3,0),"")</f>
        <v/>
      </c>
      <c r="AC92" s="599" t="str">
        <f>IF(ISNUMBER(VLOOKUP($B92,#REF!,4,0)),VLOOKUP($B92,#REF!,4,0),"")</f>
        <v/>
      </c>
      <c r="AD92" s="599" t="str">
        <f>IF(ISNUMBER(VLOOKUP($B92,#REF!,5,0)),VLOOKUP($B92,#REF!,5,0),"")</f>
        <v/>
      </c>
      <c r="AE92" s="599" t="str">
        <f>IF(ISNUMBER(VLOOKUP($B92,#REF!,6,0)),VLOOKUP($B92,#REF!,6,0),"")</f>
        <v/>
      </c>
      <c r="AF92" s="598" t="str">
        <f>IF(ISNUMBER(VLOOKUP($B92,#REF!,2,0)),VLOOKUP($B92,#REF!,2,0),"")</f>
        <v/>
      </c>
      <c r="AG92" s="599" t="str">
        <f>IF(ISNUMBER(VLOOKUP($B92,#REF!,3,0)),VLOOKUP($B92,#REF!,3,0),"")</f>
        <v/>
      </c>
      <c r="AH92" s="599" t="str">
        <f>IF(ISNUMBER(VLOOKUP($B92,#REF!,4,0)),VLOOKUP($B92,#REF!,4,0),"")</f>
        <v/>
      </c>
      <c r="AI92" s="599" t="str">
        <f>IF(ISNUMBER(VLOOKUP($B92,#REF!,5,0)),VLOOKUP($B92,#REF!,5,0),"")</f>
        <v/>
      </c>
      <c r="AJ92" s="599" t="str">
        <f>IF(ISNUMBER(VLOOKUP($B92,#REF!,6,0)),VLOOKUP($B92,#REF!,6,0),"")</f>
        <v/>
      </c>
      <c r="AK92" s="599" t="e">
        <f>VLOOKUP($B92,Skörd!$D$5:$M$72,7,0)</f>
        <v>#N/A</v>
      </c>
    </row>
    <row r="93" spans="2:37" hidden="1" x14ac:dyDescent="0.2">
      <c r="B93" s="596" t="s">
        <v>1105</v>
      </c>
      <c r="C93" s="598" t="str">
        <f>IF(ISNUMBER(VLOOKUP($B93,'F1'!$D$6:$G$73,2,0)),VLOOKUP($B93,'F1'!$D$6:$G$73,2,0),"")</f>
        <v/>
      </c>
      <c r="D93" s="599" t="str">
        <f>IF(ISNUMBER(VLOOKUP($B93,'F1'!$D$6:$G$73,3,0)),VLOOKUP($B93,'F1'!$D$6:$G$73,3,0),"")</f>
        <v/>
      </c>
      <c r="E93" s="599" t="str">
        <f>IF(ISNUMBER(VLOOKUP($B93,'F1'!$D$6:$G$73,4,0)),VLOOKUP($B93,'F1'!$D$6:$G$73,4,0),"")</f>
        <v/>
      </c>
      <c r="F93" s="598" t="str">
        <f>IF(ISNUMBER(VLOOKUP($B93,'F2'!$D$6:$G$73,2,0)),VLOOKUP($B93,'F2'!$D$6:$G$73,2,0),"")</f>
        <v/>
      </c>
      <c r="G93" s="599" t="str">
        <f>IF(ISNUMBER(VLOOKUP($B93,'F2'!$D$6:$G$73,3,0)),VLOOKUP($B93,'F2'!$D$6:$G$73,3,0),"")</f>
        <v/>
      </c>
      <c r="H93" s="599" t="str">
        <f>IF(ISNUMBER(VLOOKUP($B93,'F2'!$D$6:$G$73,4,0)),VLOOKUP($B93,'F2'!$D$6:$G$73,4,0),"")</f>
        <v/>
      </c>
      <c r="I93" s="598" t="str">
        <f>IF(ISNUMBER(VLOOKUP($B93,#REF!,2,0)),VLOOKUP($B93,#REF!,2,0),"")</f>
        <v/>
      </c>
      <c r="J93" s="599" t="str">
        <f>IF(ISNUMBER(VLOOKUP($B93,#REF!,3,0)),VLOOKUP($B93,#REF!,3,0),"")</f>
        <v/>
      </c>
      <c r="K93" s="599" t="str">
        <f>IF(ISNUMBER(VLOOKUP($B93,#REF!,4,0)),VLOOKUP($B93,#REF!,4,0),"")</f>
        <v/>
      </c>
      <c r="L93" s="598" t="str">
        <f>IF(ISNUMBER(VLOOKUP($B93,'G1'!$D$7:$M$74,2,0)),VLOOKUP($B93,'G1'!$D$7:$M$74,2,0),"")</f>
        <v/>
      </c>
      <c r="M93" s="599" t="str">
        <f>IF(ISNUMBER(VLOOKUP($B93,'G1'!$D$7:$M$74,3,0)),VLOOKUP($B93,'G1'!$D$7:$M$74,3,0),"")</f>
        <v/>
      </c>
      <c r="N93" s="599" t="str">
        <f>IF(ISNUMBER(VLOOKUP($B93,'G1'!$D$7:$M$74,4,0)),VLOOKUP($B93,'G1'!$D$7:$M$74,4,0),"")</f>
        <v/>
      </c>
      <c r="O93" s="599" t="str">
        <f>IF(ISNUMBER(VLOOKUP($B93,'G1'!$D$7:$M$74,5,0)),VLOOKUP($B93,'G1'!$D$7:$M$74,5,0),"")</f>
        <v/>
      </c>
      <c r="P93" s="599" t="str">
        <f>IF(ISNUMBER(VLOOKUP($B93,'G1'!$D$7:$M$74,6,0)),VLOOKUP($B93,'G1'!$D$7:$M$74,6,0),"")</f>
        <v/>
      </c>
      <c r="Q93" s="598" t="str">
        <f>IF(ISNUMBER(VLOOKUP($B93,'G2'!$D$7:$M$74,2,0)),VLOOKUP($B93,'G2'!$D$7:$M$74,2,0),"")</f>
        <v/>
      </c>
      <c r="R93" s="599" t="str">
        <f>IF(ISNUMBER(VLOOKUP($B93,'G2'!$D$7:$M$74,3,0)),VLOOKUP($B93,'G2'!$D$7:$M$74,3,0),"")</f>
        <v/>
      </c>
      <c r="S93" s="599" t="str">
        <f>IF(ISNUMBER(VLOOKUP($B93,'G2'!$D$7:$M$74,4,0)),VLOOKUP($B93,'G2'!$D$7:$M$74,4,0),"")</f>
        <v/>
      </c>
      <c r="T93" s="599" t="str">
        <f>IF(ISNUMBER(VLOOKUP($B93,'G2'!$D$7:$M$74,5,0)),VLOOKUP($B93,'G2'!$D$7:$M$74,5,0),"")</f>
        <v/>
      </c>
      <c r="U93" s="599" t="str">
        <f>IF(ISNUMBER(VLOOKUP($B93,'G2'!$D$7:$M$74,6,0)),VLOOKUP($B93,'G2'!$D$7:$M$74,6,0),"")</f>
        <v/>
      </c>
      <c r="V93" s="598" t="str">
        <f>IF(ISNUMBER(VLOOKUP($B93,'G3'!$D$7:$M$74,2,0)),VLOOKUP($B93,'G3'!$D$7:$M$74,2,0),"")</f>
        <v/>
      </c>
      <c r="W93" s="599" t="str">
        <f>IF(ISNUMBER(VLOOKUP($B93,'G3'!$D$7:$M$74,3,0)),VLOOKUP($B93,'G3'!$D$7:$M$74,3,0),"")</f>
        <v/>
      </c>
      <c r="X93" s="599" t="str">
        <f>IF(ISNUMBER(VLOOKUP($B93,'G3'!$D$7:$M$74,4,0)),VLOOKUP($B93,'G3'!$D$7:$M$74,4,0),"")</f>
        <v/>
      </c>
      <c r="Y93" s="599" t="str">
        <f>IF(ISNUMBER(VLOOKUP($B93,'G3'!$D$7:$M$74,5,0)),VLOOKUP($B93,'G3'!$D$7:$M$74,5,0),"")</f>
        <v/>
      </c>
      <c r="Z93" s="599" t="str">
        <f>IF(ISNUMBER(VLOOKUP($B93,'G3'!$D$7:$M$74,6,0)),VLOOKUP($B93,'G3'!$D$7:$M$74,6,0),"")</f>
        <v/>
      </c>
      <c r="AA93" s="598" t="str">
        <f>IF(ISNUMBER(VLOOKUP($B93,#REF!,2,0)),VLOOKUP($B93,#REF!,2,0),"")</f>
        <v/>
      </c>
      <c r="AB93" s="599" t="str">
        <f>IF(ISNUMBER(VLOOKUP($B93,#REF!,3,0)),VLOOKUP($B93,#REF!,3,0),"")</f>
        <v/>
      </c>
      <c r="AC93" s="599" t="str">
        <f>IF(ISNUMBER(VLOOKUP($B93,#REF!,4,0)),VLOOKUP($B93,#REF!,4,0),"")</f>
        <v/>
      </c>
      <c r="AD93" s="599" t="str">
        <f>IF(ISNUMBER(VLOOKUP($B93,#REF!,5,0)),VLOOKUP($B93,#REF!,5,0),"")</f>
        <v/>
      </c>
      <c r="AE93" s="599" t="str">
        <f>IF(ISNUMBER(VLOOKUP($B93,#REF!,6,0)),VLOOKUP($B93,#REF!,6,0),"")</f>
        <v/>
      </c>
      <c r="AF93" s="598" t="str">
        <f>IF(ISNUMBER(VLOOKUP($B93,#REF!,2,0)),VLOOKUP($B93,#REF!,2,0),"")</f>
        <v/>
      </c>
      <c r="AG93" s="599" t="str">
        <f>IF(ISNUMBER(VLOOKUP($B93,#REF!,3,0)),VLOOKUP($B93,#REF!,3,0),"")</f>
        <v/>
      </c>
      <c r="AH93" s="599" t="str">
        <f>IF(ISNUMBER(VLOOKUP($B93,#REF!,4,0)),VLOOKUP($B93,#REF!,4,0),"")</f>
        <v/>
      </c>
      <c r="AI93" s="599" t="str">
        <f>IF(ISNUMBER(VLOOKUP($B93,#REF!,5,0)),VLOOKUP($B93,#REF!,5,0),"")</f>
        <v/>
      </c>
      <c r="AJ93" s="599" t="str">
        <f>IF(ISNUMBER(VLOOKUP($B93,#REF!,6,0)),VLOOKUP($B93,#REF!,6,0),"")</f>
        <v/>
      </c>
      <c r="AK93" s="599" t="e">
        <f>VLOOKUP($B93,Skörd!$D$5:$M$72,7,0)</f>
        <v>#N/A</v>
      </c>
    </row>
    <row r="94" spans="2:37" hidden="1" x14ac:dyDescent="0.2">
      <c r="B94" s="596" t="s">
        <v>1106</v>
      </c>
      <c r="C94" s="598" t="str">
        <f>IF(ISNUMBER(VLOOKUP($B94,'F1'!$D$6:$G$73,2,0)),VLOOKUP($B94,'F1'!$D$6:$G$73,2,0),"")</f>
        <v/>
      </c>
      <c r="D94" s="599" t="str">
        <f>IF(ISNUMBER(VLOOKUP($B94,'F1'!$D$6:$G$73,3,0)),VLOOKUP($B94,'F1'!$D$6:$G$73,3,0),"")</f>
        <v/>
      </c>
      <c r="E94" s="599" t="str">
        <f>IF(ISNUMBER(VLOOKUP($B94,'F1'!$D$6:$G$73,4,0)),VLOOKUP($B94,'F1'!$D$6:$G$73,4,0),"")</f>
        <v/>
      </c>
      <c r="F94" s="598" t="str">
        <f>IF(ISNUMBER(VLOOKUP($B94,'F2'!$D$6:$G$73,2,0)),VLOOKUP($B94,'F2'!$D$6:$G$73,2,0),"")</f>
        <v/>
      </c>
      <c r="G94" s="599" t="str">
        <f>IF(ISNUMBER(VLOOKUP($B94,'F2'!$D$6:$G$73,3,0)),VLOOKUP($B94,'F2'!$D$6:$G$73,3,0),"")</f>
        <v/>
      </c>
      <c r="H94" s="599" t="str">
        <f>IF(ISNUMBER(VLOOKUP($B94,'F2'!$D$6:$G$73,4,0)),VLOOKUP($B94,'F2'!$D$6:$G$73,4,0),"")</f>
        <v/>
      </c>
      <c r="I94" s="598" t="str">
        <f>IF(ISNUMBER(VLOOKUP($B94,#REF!,2,0)),VLOOKUP($B94,#REF!,2,0),"")</f>
        <v/>
      </c>
      <c r="J94" s="599" t="str">
        <f>IF(ISNUMBER(VLOOKUP($B94,#REF!,3,0)),VLOOKUP($B94,#REF!,3,0),"")</f>
        <v/>
      </c>
      <c r="K94" s="599" t="str">
        <f>IF(ISNUMBER(VLOOKUP($B94,#REF!,4,0)),VLOOKUP($B94,#REF!,4,0),"")</f>
        <v/>
      </c>
      <c r="L94" s="598" t="str">
        <f>IF(ISNUMBER(VLOOKUP($B94,'G1'!$D$7:$M$74,2,0)),VLOOKUP($B94,'G1'!$D$7:$M$74,2,0),"")</f>
        <v/>
      </c>
      <c r="M94" s="599" t="str">
        <f>IF(ISNUMBER(VLOOKUP($B94,'G1'!$D$7:$M$74,3,0)),VLOOKUP($B94,'G1'!$D$7:$M$74,3,0),"")</f>
        <v/>
      </c>
      <c r="N94" s="599" t="str">
        <f>IF(ISNUMBER(VLOOKUP($B94,'G1'!$D$7:$M$74,4,0)),VLOOKUP($B94,'G1'!$D$7:$M$74,4,0),"")</f>
        <v/>
      </c>
      <c r="O94" s="599" t="str">
        <f>IF(ISNUMBER(VLOOKUP($B94,'G1'!$D$7:$M$74,5,0)),VLOOKUP($B94,'G1'!$D$7:$M$74,5,0),"")</f>
        <v/>
      </c>
      <c r="P94" s="599" t="str">
        <f>IF(ISNUMBER(VLOOKUP($B94,'G1'!$D$7:$M$74,6,0)),VLOOKUP($B94,'G1'!$D$7:$M$74,6,0),"")</f>
        <v/>
      </c>
      <c r="Q94" s="598" t="str">
        <f>IF(ISNUMBER(VLOOKUP($B94,'G2'!$D$7:$M$74,2,0)),VLOOKUP($B94,'G2'!$D$7:$M$74,2,0),"")</f>
        <v/>
      </c>
      <c r="R94" s="599" t="str">
        <f>IF(ISNUMBER(VLOOKUP($B94,'G2'!$D$7:$M$74,3,0)),VLOOKUP($B94,'G2'!$D$7:$M$74,3,0),"")</f>
        <v/>
      </c>
      <c r="S94" s="599" t="str">
        <f>IF(ISNUMBER(VLOOKUP($B94,'G2'!$D$7:$M$74,4,0)),VLOOKUP($B94,'G2'!$D$7:$M$74,4,0),"")</f>
        <v/>
      </c>
      <c r="T94" s="599" t="str">
        <f>IF(ISNUMBER(VLOOKUP($B94,'G2'!$D$7:$M$74,5,0)),VLOOKUP($B94,'G2'!$D$7:$M$74,5,0),"")</f>
        <v/>
      </c>
      <c r="U94" s="599" t="str">
        <f>IF(ISNUMBER(VLOOKUP($B94,'G2'!$D$7:$M$74,6,0)),VLOOKUP($B94,'G2'!$D$7:$M$74,6,0),"")</f>
        <v/>
      </c>
      <c r="V94" s="598" t="str">
        <f>IF(ISNUMBER(VLOOKUP($B94,'G3'!$D$7:$M$74,2,0)),VLOOKUP($B94,'G3'!$D$7:$M$74,2,0),"")</f>
        <v/>
      </c>
      <c r="W94" s="599" t="str">
        <f>IF(ISNUMBER(VLOOKUP($B94,'G3'!$D$7:$M$74,3,0)),VLOOKUP($B94,'G3'!$D$7:$M$74,3,0),"")</f>
        <v/>
      </c>
      <c r="X94" s="599" t="str">
        <f>IF(ISNUMBER(VLOOKUP($B94,'G3'!$D$7:$M$74,4,0)),VLOOKUP($B94,'G3'!$D$7:$M$74,4,0),"")</f>
        <v/>
      </c>
      <c r="Y94" s="599" t="str">
        <f>IF(ISNUMBER(VLOOKUP($B94,'G3'!$D$7:$M$74,5,0)),VLOOKUP($B94,'G3'!$D$7:$M$74,5,0),"")</f>
        <v/>
      </c>
      <c r="Z94" s="599" t="str">
        <f>IF(ISNUMBER(VLOOKUP($B94,'G3'!$D$7:$M$74,6,0)),VLOOKUP($B94,'G3'!$D$7:$M$74,6,0),"")</f>
        <v/>
      </c>
      <c r="AA94" s="598" t="str">
        <f>IF(ISNUMBER(VLOOKUP($B94,#REF!,2,0)),VLOOKUP($B94,#REF!,2,0),"")</f>
        <v/>
      </c>
      <c r="AB94" s="599" t="str">
        <f>IF(ISNUMBER(VLOOKUP($B94,#REF!,3,0)),VLOOKUP($B94,#REF!,3,0),"")</f>
        <v/>
      </c>
      <c r="AC94" s="599" t="str">
        <f>IF(ISNUMBER(VLOOKUP($B94,#REF!,4,0)),VLOOKUP($B94,#REF!,4,0),"")</f>
        <v/>
      </c>
      <c r="AD94" s="599" t="str">
        <f>IF(ISNUMBER(VLOOKUP($B94,#REF!,5,0)),VLOOKUP($B94,#REF!,5,0),"")</f>
        <v/>
      </c>
      <c r="AE94" s="599" t="str">
        <f>IF(ISNUMBER(VLOOKUP($B94,#REF!,6,0)),VLOOKUP($B94,#REF!,6,0),"")</f>
        <v/>
      </c>
      <c r="AF94" s="598" t="str">
        <f>IF(ISNUMBER(VLOOKUP($B94,#REF!,2,0)),VLOOKUP($B94,#REF!,2,0),"")</f>
        <v/>
      </c>
      <c r="AG94" s="599" t="str">
        <f>IF(ISNUMBER(VLOOKUP($B94,#REF!,3,0)),VLOOKUP($B94,#REF!,3,0),"")</f>
        <v/>
      </c>
      <c r="AH94" s="599" t="str">
        <f>IF(ISNUMBER(VLOOKUP($B94,#REF!,4,0)),VLOOKUP($B94,#REF!,4,0),"")</f>
        <v/>
      </c>
      <c r="AI94" s="599" t="str">
        <f>IF(ISNUMBER(VLOOKUP($B94,#REF!,5,0)),VLOOKUP($B94,#REF!,5,0),"")</f>
        <v/>
      </c>
      <c r="AJ94" s="599" t="str">
        <f>IF(ISNUMBER(VLOOKUP($B94,#REF!,6,0)),VLOOKUP($B94,#REF!,6,0),"")</f>
        <v/>
      </c>
      <c r="AK94" s="599" t="e">
        <f>VLOOKUP($B94,Skörd!$D$5:$M$72,7,0)</f>
        <v>#N/A</v>
      </c>
    </row>
    <row r="95" spans="2:37" hidden="1" x14ac:dyDescent="0.2">
      <c r="B95" s="596" t="s">
        <v>1107</v>
      </c>
      <c r="C95" s="598" t="str">
        <f>IF(ISNUMBER(VLOOKUP($B95,'F1'!$D$6:$G$73,2,0)),VLOOKUP($B95,'F1'!$D$6:$G$73,2,0),"")</f>
        <v/>
      </c>
      <c r="D95" s="599" t="str">
        <f>IF(ISNUMBER(VLOOKUP($B95,'F1'!$D$6:$G$73,3,0)),VLOOKUP($B95,'F1'!$D$6:$G$73,3,0),"")</f>
        <v/>
      </c>
      <c r="E95" s="599" t="str">
        <f>IF(ISNUMBER(VLOOKUP($B95,'F1'!$D$6:$G$73,4,0)),VLOOKUP($B95,'F1'!$D$6:$G$73,4,0),"")</f>
        <v/>
      </c>
      <c r="F95" s="598" t="str">
        <f>IF(ISNUMBER(VLOOKUP($B95,'F2'!$D$6:$G$73,2,0)),VLOOKUP($B95,'F2'!$D$6:$G$73,2,0),"")</f>
        <v/>
      </c>
      <c r="G95" s="599" t="str">
        <f>IF(ISNUMBER(VLOOKUP($B95,'F2'!$D$6:$G$73,3,0)),VLOOKUP($B95,'F2'!$D$6:$G$73,3,0),"")</f>
        <v/>
      </c>
      <c r="H95" s="599" t="str">
        <f>IF(ISNUMBER(VLOOKUP($B95,'F2'!$D$6:$G$73,4,0)),VLOOKUP($B95,'F2'!$D$6:$G$73,4,0),"")</f>
        <v/>
      </c>
      <c r="I95" s="598" t="str">
        <f>IF(ISNUMBER(VLOOKUP($B95,#REF!,2,0)),VLOOKUP($B95,#REF!,2,0),"")</f>
        <v/>
      </c>
      <c r="J95" s="599" t="str">
        <f>IF(ISNUMBER(VLOOKUP($B95,#REF!,3,0)),VLOOKUP($B95,#REF!,3,0),"")</f>
        <v/>
      </c>
      <c r="K95" s="599" t="str">
        <f>IF(ISNUMBER(VLOOKUP($B95,#REF!,4,0)),VLOOKUP($B95,#REF!,4,0),"")</f>
        <v/>
      </c>
      <c r="L95" s="598" t="str">
        <f>IF(ISNUMBER(VLOOKUP($B95,'G1'!$D$7:$M$74,2,0)),VLOOKUP($B95,'G1'!$D$7:$M$74,2,0),"")</f>
        <v/>
      </c>
      <c r="M95" s="599" t="str">
        <f>IF(ISNUMBER(VLOOKUP($B95,'G1'!$D$7:$M$74,3,0)),VLOOKUP($B95,'G1'!$D$7:$M$74,3,0),"")</f>
        <v/>
      </c>
      <c r="N95" s="599" t="str">
        <f>IF(ISNUMBER(VLOOKUP($B95,'G1'!$D$7:$M$74,4,0)),VLOOKUP($B95,'G1'!$D$7:$M$74,4,0),"")</f>
        <v/>
      </c>
      <c r="O95" s="599" t="str">
        <f>IF(ISNUMBER(VLOOKUP($B95,'G1'!$D$7:$M$74,5,0)),VLOOKUP($B95,'G1'!$D$7:$M$74,5,0),"")</f>
        <v/>
      </c>
      <c r="P95" s="599" t="str">
        <f>IF(ISNUMBER(VLOOKUP($B95,'G1'!$D$7:$M$74,6,0)),VLOOKUP($B95,'G1'!$D$7:$M$74,6,0),"")</f>
        <v/>
      </c>
      <c r="Q95" s="598" t="str">
        <f>IF(ISNUMBER(VLOOKUP($B95,'G2'!$D$7:$M$74,2,0)),VLOOKUP($B95,'G2'!$D$7:$M$74,2,0),"")</f>
        <v/>
      </c>
      <c r="R95" s="599" t="str">
        <f>IF(ISNUMBER(VLOOKUP($B95,'G2'!$D$7:$M$74,3,0)),VLOOKUP($B95,'G2'!$D$7:$M$74,3,0),"")</f>
        <v/>
      </c>
      <c r="S95" s="599" t="str">
        <f>IF(ISNUMBER(VLOOKUP($B95,'G2'!$D$7:$M$74,4,0)),VLOOKUP($B95,'G2'!$D$7:$M$74,4,0),"")</f>
        <v/>
      </c>
      <c r="T95" s="599" t="str">
        <f>IF(ISNUMBER(VLOOKUP($B95,'G2'!$D$7:$M$74,5,0)),VLOOKUP($B95,'G2'!$D$7:$M$74,5,0),"")</f>
        <v/>
      </c>
      <c r="U95" s="599" t="str">
        <f>IF(ISNUMBER(VLOOKUP($B95,'G2'!$D$7:$M$74,6,0)),VLOOKUP($B95,'G2'!$D$7:$M$74,6,0),"")</f>
        <v/>
      </c>
      <c r="V95" s="598" t="str">
        <f>IF(ISNUMBER(VLOOKUP($B95,'G3'!$D$7:$M$74,2,0)),VLOOKUP($B95,'G3'!$D$7:$M$74,2,0),"")</f>
        <v/>
      </c>
      <c r="W95" s="599" t="str">
        <f>IF(ISNUMBER(VLOOKUP($B95,'G3'!$D$7:$M$74,3,0)),VLOOKUP($B95,'G3'!$D$7:$M$74,3,0),"")</f>
        <v/>
      </c>
      <c r="X95" s="599" t="str">
        <f>IF(ISNUMBER(VLOOKUP($B95,'G3'!$D$7:$M$74,4,0)),VLOOKUP($B95,'G3'!$D$7:$M$74,4,0),"")</f>
        <v/>
      </c>
      <c r="Y95" s="599" t="str">
        <f>IF(ISNUMBER(VLOOKUP($B95,'G3'!$D$7:$M$74,5,0)),VLOOKUP($B95,'G3'!$D$7:$M$74,5,0),"")</f>
        <v/>
      </c>
      <c r="Z95" s="599" t="str">
        <f>IF(ISNUMBER(VLOOKUP($B95,'G3'!$D$7:$M$74,6,0)),VLOOKUP($B95,'G3'!$D$7:$M$74,6,0),"")</f>
        <v/>
      </c>
      <c r="AA95" s="598" t="str">
        <f>IF(ISNUMBER(VLOOKUP($B95,#REF!,2,0)),VLOOKUP($B95,#REF!,2,0),"")</f>
        <v/>
      </c>
      <c r="AB95" s="599" t="str">
        <f>IF(ISNUMBER(VLOOKUP($B95,#REF!,3,0)),VLOOKUP($B95,#REF!,3,0),"")</f>
        <v/>
      </c>
      <c r="AC95" s="599" t="str">
        <f>IF(ISNUMBER(VLOOKUP($B95,#REF!,4,0)),VLOOKUP($B95,#REF!,4,0),"")</f>
        <v/>
      </c>
      <c r="AD95" s="599" t="str">
        <f>IF(ISNUMBER(VLOOKUP($B95,#REF!,5,0)),VLOOKUP($B95,#REF!,5,0),"")</f>
        <v/>
      </c>
      <c r="AE95" s="599" t="str">
        <f>IF(ISNUMBER(VLOOKUP($B95,#REF!,6,0)),VLOOKUP($B95,#REF!,6,0),"")</f>
        <v/>
      </c>
      <c r="AF95" s="598" t="str">
        <f>IF(ISNUMBER(VLOOKUP($B95,#REF!,2,0)),VLOOKUP($B95,#REF!,2,0),"")</f>
        <v/>
      </c>
      <c r="AG95" s="599" t="str">
        <f>IF(ISNUMBER(VLOOKUP($B95,#REF!,3,0)),VLOOKUP($B95,#REF!,3,0),"")</f>
        <v/>
      </c>
      <c r="AH95" s="599" t="str">
        <f>IF(ISNUMBER(VLOOKUP($B95,#REF!,4,0)),VLOOKUP($B95,#REF!,4,0),"")</f>
        <v/>
      </c>
      <c r="AI95" s="599" t="str">
        <f>IF(ISNUMBER(VLOOKUP($B95,#REF!,5,0)),VLOOKUP($B95,#REF!,5,0),"")</f>
        <v/>
      </c>
      <c r="AJ95" s="599" t="str">
        <f>IF(ISNUMBER(VLOOKUP($B95,#REF!,6,0)),VLOOKUP($B95,#REF!,6,0),"")</f>
        <v/>
      </c>
      <c r="AK95" s="599" t="e">
        <f>VLOOKUP($B95,Skörd!$D$5:$M$72,7,0)</f>
        <v>#N/A</v>
      </c>
    </row>
    <row r="96" spans="2:37" hidden="1" x14ac:dyDescent="0.2">
      <c r="B96" s="596" t="s">
        <v>1108</v>
      </c>
      <c r="C96" s="598" t="str">
        <f>IF(ISNUMBER(VLOOKUP($B96,'F1'!$D$6:$G$73,2,0)),VLOOKUP($B96,'F1'!$D$6:$G$73,2,0),"")</f>
        <v/>
      </c>
      <c r="D96" s="599" t="str">
        <f>IF(ISNUMBER(VLOOKUP($B96,'F1'!$D$6:$G$73,3,0)),VLOOKUP($B96,'F1'!$D$6:$G$73,3,0),"")</f>
        <v/>
      </c>
      <c r="E96" s="599" t="str">
        <f>IF(ISNUMBER(VLOOKUP($B96,'F1'!$D$6:$G$73,4,0)),VLOOKUP($B96,'F1'!$D$6:$G$73,4,0),"")</f>
        <v/>
      </c>
      <c r="F96" s="598" t="str">
        <f>IF(ISNUMBER(VLOOKUP($B96,'F2'!$D$6:$G$73,2,0)),VLOOKUP($B96,'F2'!$D$6:$G$73,2,0),"")</f>
        <v/>
      </c>
      <c r="G96" s="599" t="str">
        <f>IF(ISNUMBER(VLOOKUP($B96,'F2'!$D$6:$G$73,3,0)),VLOOKUP($B96,'F2'!$D$6:$G$73,3,0),"")</f>
        <v/>
      </c>
      <c r="H96" s="599" t="str">
        <f>IF(ISNUMBER(VLOOKUP($B96,'F2'!$D$6:$G$73,4,0)),VLOOKUP($B96,'F2'!$D$6:$G$73,4,0),"")</f>
        <v/>
      </c>
      <c r="I96" s="598" t="str">
        <f>IF(ISNUMBER(VLOOKUP($B96,#REF!,2,0)),VLOOKUP($B96,#REF!,2,0),"")</f>
        <v/>
      </c>
      <c r="J96" s="599" t="str">
        <f>IF(ISNUMBER(VLOOKUP($B96,#REF!,3,0)),VLOOKUP($B96,#REF!,3,0),"")</f>
        <v/>
      </c>
      <c r="K96" s="599" t="str">
        <f>IF(ISNUMBER(VLOOKUP($B96,#REF!,4,0)),VLOOKUP($B96,#REF!,4,0),"")</f>
        <v/>
      </c>
      <c r="L96" s="598" t="str">
        <f>IF(ISNUMBER(VLOOKUP($B96,'G1'!$D$7:$M$74,2,0)),VLOOKUP($B96,'G1'!$D$7:$M$74,2,0),"")</f>
        <v/>
      </c>
      <c r="M96" s="599" t="str">
        <f>IF(ISNUMBER(VLOOKUP($B96,'G1'!$D$7:$M$74,3,0)),VLOOKUP($B96,'G1'!$D$7:$M$74,3,0),"")</f>
        <v/>
      </c>
      <c r="N96" s="599" t="str">
        <f>IF(ISNUMBER(VLOOKUP($B96,'G1'!$D$7:$M$74,4,0)),VLOOKUP($B96,'G1'!$D$7:$M$74,4,0),"")</f>
        <v/>
      </c>
      <c r="O96" s="599" t="str">
        <f>IF(ISNUMBER(VLOOKUP($B96,'G1'!$D$7:$M$74,5,0)),VLOOKUP($B96,'G1'!$D$7:$M$74,5,0),"")</f>
        <v/>
      </c>
      <c r="P96" s="599" t="str">
        <f>IF(ISNUMBER(VLOOKUP($B96,'G1'!$D$7:$M$74,6,0)),VLOOKUP($B96,'G1'!$D$7:$M$74,6,0),"")</f>
        <v/>
      </c>
      <c r="Q96" s="598" t="str">
        <f>IF(ISNUMBER(VLOOKUP($B96,'G2'!$D$7:$M$74,2,0)),VLOOKUP($B96,'G2'!$D$7:$M$74,2,0),"")</f>
        <v/>
      </c>
      <c r="R96" s="599" t="str">
        <f>IF(ISNUMBER(VLOOKUP($B96,'G2'!$D$7:$M$74,3,0)),VLOOKUP($B96,'G2'!$D$7:$M$74,3,0),"")</f>
        <v/>
      </c>
      <c r="S96" s="599" t="str">
        <f>IF(ISNUMBER(VLOOKUP($B96,'G2'!$D$7:$M$74,4,0)),VLOOKUP($B96,'G2'!$D$7:$M$74,4,0),"")</f>
        <v/>
      </c>
      <c r="T96" s="599" t="str">
        <f>IF(ISNUMBER(VLOOKUP($B96,'G2'!$D$7:$M$74,5,0)),VLOOKUP($B96,'G2'!$D$7:$M$74,5,0),"")</f>
        <v/>
      </c>
      <c r="U96" s="599" t="str">
        <f>IF(ISNUMBER(VLOOKUP($B96,'G2'!$D$7:$M$74,6,0)),VLOOKUP($B96,'G2'!$D$7:$M$74,6,0),"")</f>
        <v/>
      </c>
      <c r="V96" s="598" t="str">
        <f>IF(ISNUMBER(VLOOKUP($B96,'G3'!$D$7:$M$74,2,0)),VLOOKUP($B96,'G3'!$D$7:$M$74,2,0),"")</f>
        <v/>
      </c>
      <c r="W96" s="599" t="str">
        <f>IF(ISNUMBER(VLOOKUP($B96,'G3'!$D$7:$M$74,3,0)),VLOOKUP($B96,'G3'!$D$7:$M$74,3,0),"")</f>
        <v/>
      </c>
      <c r="X96" s="599" t="str">
        <f>IF(ISNUMBER(VLOOKUP($B96,'G3'!$D$7:$M$74,4,0)),VLOOKUP($B96,'G3'!$D$7:$M$74,4,0),"")</f>
        <v/>
      </c>
      <c r="Y96" s="599" t="str">
        <f>IF(ISNUMBER(VLOOKUP($B96,'G3'!$D$7:$M$74,5,0)),VLOOKUP($B96,'G3'!$D$7:$M$74,5,0),"")</f>
        <v/>
      </c>
      <c r="Z96" s="599" t="str">
        <f>IF(ISNUMBER(VLOOKUP($B96,'G3'!$D$7:$M$74,6,0)),VLOOKUP($B96,'G3'!$D$7:$M$74,6,0),"")</f>
        <v/>
      </c>
      <c r="AA96" s="598" t="str">
        <f>IF(ISNUMBER(VLOOKUP($B96,#REF!,2,0)),VLOOKUP($B96,#REF!,2,0),"")</f>
        <v/>
      </c>
      <c r="AB96" s="599" t="str">
        <f>IF(ISNUMBER(VLOOKUP($B96,#REF!,3,0)),VLOOKUP($B96,#REF!,3,0),"")</f>
        <v/>
      </c>
      <c r="AC96" s="599" t="str">
        <f>IF(ISNUMBER(VLOOKUP($B96,#REF!,4,0)),VLOOKUP($B96,#REF!,4,0),"")</f>
        <v/>
      </c>
      <c r="AD96" s="599" t="str">
        <f>IF(ISNUMBER(VLOOKUP($B96,#REF!,5,0)),VLOOKUP($B96,#REF!,5,0),"")</f>
        <v/>
      </c>
      <c r="AE96" s="599" t="str">
        <f>IF(ISNUMBER(VLOOKUP($B96,#REF!,6,0)),VLOOKUP($B96,#REF!,6,0),"")</f>
        <v/>
      </c>
      <c r="AF96" s="598" t="str">
        <f>IF(ISNUMBER(VLOOKUP($B96,#REF!,2,0)),VLOOKUP($B96,#REF!,2,0),"")</f>
        <v/>
      </c>
      <c r="AG96" s="599" t="str">
        <f>IF(ISNUMBER(VLOOKUP($B96,#REF!,3,0)),VLOOKUP($B96,#REF!,3,0),"")</f>
        <v/>
      </c>
      <c r="AH96" s="599" t="str">
        <f>IF(ISNUMBER(VLOOKUP($B96,#REF!,4,0)),VLOOKUP($B96,#REF!,4,0),"")</f>
        <v/>
      </c>
      <c r="AI96" s="599" t="str">
        <f>IF(ISNUMBER(VLOOKUP($B96,#REF!,5,0)),VLOOKUP($B96,#REF!,5,0),"")</f>
        <v/>
      </c>
      <c r="AJ96" s="599" t="str">
        <f>IF(ISNUMBER(VLOOKUP($B96,#REF!,6,0)),VLOOKUP($B96,#REF!,6,0),"")</f>
        <v/>
      </c>
      <c r="AK96" s="599" t="e">
        <f>VLOOKUP($B96,Skörd!$D$5:$M$72,7,0)</f>
        <v>#N/A</v>
      </c>
    </row>
    <row r="97" spans="1:37" hidden="1" x14ac:dyDescent="0.2">
      <c r="B97" s="596" t="s">
        <v>1109</v>
      </c>
      <c r="C97" s="598" t="str">
        <f>IF(ISNUMBER(VLOOKUP($B97,'F1'!$D$6:$G$73,2,0)),VLOOKUP($B97,'F1'!$D$6:$G$73,2,0),"")</f>
        <v/>
      </c>
      <c r="D97" s="599" t="str">
        <f>IF(ISNUMBER(VLOOKUP($B97,'F1'!$D$6:$G$73,3,0)),VLOOKUP($B97,'F1'!$D$6:$G$73,3,0),"")</f>
        <v/>
      </c>
      <c r="E97" s="599" t="str">
        <f>IF(ISNUMBER(VLOOKUP($B97,'F1'!$D$6:$G$73,4,0)),VLOOKUP($B97,'F1'!$D$6:$G$73,4,0),"")</f>
        <v/>
      </c>
      <c r="F97" s="598" t="str">
        <f>IF(ISNUMBER(VLOOKUP($B97,'F2'!$D$6:$G$73,2,0)),VLOOKUP($B97,'F2'!$D$6:$G$73,2,0),"")</f>
        <v/>
      </c>
      <c r="G97" s="599" t="str">
        <f>IF(ISNUMBER(VLOOKUP($B97,'F2'!$D$6:$G$73,3,0)),VLOOKUP($B97,'F2'!$D$6:$G$73,3,0),"")</f>
        <v/>
      </c>
      <c r="H97" s="599" t="str">
        <f>IF(ISNUMBER(VLOOKUP($B97,'F2'!$D$6:$G$73,4,0)),VLOOKUP($B97,'F2'!$D$6:$G$73,4,0),"")</f>
        <v/>
      </c>
      <c r="I97" s="598" t="str">
        <f>IF(ISNUMBER(VLOOKUP($B97,#REF!,2,0)),VLOOKUP($B97,#REF!,2,0),"")</f>
        <v/>
      </c>
      <c r="J97" s="599" t="str">
        <f>IF(ISNUMBER(VLOOKUP($B97,#REF!,3,0)),VLOOKUP($B97,#REF!,3,0),"")</f>
        <v/>
      </c>
      <c r="K97" s="599" t="str">
        <f>IF(ISNUMBER(VLOOKUP($B97,#REF!,4,0)),VLOOKUP($B97,#REF!,4,0),"")</f>
        <v/>
      </c>
      <c r="L97" s="598" t="str">
        <f>IF(ISNUMBER(VLOOKUP($B97,'G1'!$D$7:$M$74,2,0)),VLOOKUP($B97,'G1'!$D$7:$M$74,2,0),"")</f>
        <v/>
      </c>
      <c r="M97" s="599" t="str">
        <f>IF(ISNUMBER(VLOOKUP($B97,'G1'!$D$7:$M$74,3,0)),VLOOKUP($B97,'G1'!$D$7:$M$74,3,0),"")</f>
        <v/>
      </c>
      <c r="N97" s="599" t="str">
        <f>IF(ISNUMBER(VLOOKUP($B97,'G1'!$D$7:$M$74,4,0)),VLOOKUP($B97,'G1'!$D$7:$M$74,4,0),"")</f>
        <v/>
      </c>
      <c r="O97" s="599" t="str">
        <f>IF(ISNUMBER(VLOOKUP($B97,'G1'!$D$7:$M$74,5,0)),VLOOKUP($B97,'G1'!$D$7:$M$74,5,0),"")</f>
        <v/>
      </c>
      <c r="P97" s="599" t="str">
        <f>IF(ISNUMBER(VLOOKUP($B97,'G1'!$D$7:$M$74,6,0)),VLOOKUP($B97,'G1'!$D$7:$M$74,6,0),"")</f>
        <v/>
      </c>
      <c r="Q97" s="598" t="str">
        <f>IF(ISNUMBER(VLOOKUP($B97,'G2'!$D$7:$M$74,2,0)),VLOOKUP($B97,'G2'!$D$7:$M$74,2,0),"")</f>
        <v/>
      </c>
      <c r="R97" s="599" t="str">
        <f>IF(ISNUMBER(VLOOKUP($B97,'G2'!$D$7:$M$74,3,0)),VLOOKUP($B97,'G2'!$D$7:$M$74,3,0),"")</f>
        <v/>
      </c>
      <c r="S97" s="599" t="str">
        <f>IF(ISNUMBER(VLOOKUP($B97,'G2'!$D$7:$M$74,4,0)),VLOOKUP($B97,'G2'!$D$7:$M$74,4,0),"")</f>
        <v/>
      </c>
      <c r="T97" s="599" t="str">
        <f>IF(ISNUMBER(VLOOKUP($B97,'G2'!$D$7:$M$74,5,0)),VLOOKUP($B97,'G2'!$D$7:$M$74,5,0),"")</f>
        <v/>
      </c>
      <c r="U97" s="599" t="str">
        <f>IF(ISNUMBER(VLOOKUP($B97,'G2'!$D$7:$M$74,6,0)),VLOOKUP($B97,'G2'!$D$7:$M$74,6,0),"")</f>
        <v/>
      </c>
      <c r="V97" s="598" t="str">
        <f>IF(ISNUMBER(VLOOKUP($B97,'G3'!$D$7:$M$74,2,0)),VLOOKUP($B97,'G3'!$D$7:$M$74,2,0),"")</f>
        <v/>
      </c>
      <c r="W97" s="599" t="str">
        <f>IF(ISNUMBER(VLOOKUP($B97,'G3'!$D$7:$M$74,3,0)),VLOOKUP($B97,'G3'!$D$7:$M$74,3,0),"")</f>
        <v/>
      </c>
      <c r="X97" s="599" t="str">
        <f>IF(ISNUMBER(VLOOKUP($B97,'G3'!$D$7:$M$74,4,0)),VLOOKUP($B97,'G3'!$D$7:$M$74,4,0),"")</f>
        <v/>
      </c>
      <c r="Y97" s="599" t="str">
        <f>IF(ISNUMBER(VLOOKUP($B97,'G3'!$D$7:$M$74,5,0)),VLOOKUP($B97,'G3'!$D$7:$M$74,5,0),"")</f>
        <v/>
      </c>
      <c r="Z97" s="599" t="str">
        <f>IF(ISNUMBER(VLOOKUP($B97,'G3'!$D$7:$M$74,6,0)),VLOOKUP($B97,'G3'!$D$7:$M$74,6,0),"")</f>
        <v/>
      </c>
      <c r="AA97" s="598" t="str">
        <f>IF(ISNUMBER(VLOOKUP($B97,#REF!,2,0)),VLOOKUP($B97,#REF!,2,0),"")</f>
        <v/>
      </c>
      <c r="AB97" s="599" t="str">
        <f>IF(ISNUMBER(VLOOKUP($B97,#REF!,3,0)),VLOOKUP($B97,#REF!,3,0),"")</f>
        <v/>
      </c>
      <c r="AC97" s="599" t="str">
        <f>IF(ISNUMBER(VLOOKUP($B97,#REF!,4,0)),VLOOKUP($B97,#REF!,4,0),"")</f>
        <v/>
      </c>
      <c r="AD97" s="599" t="str">
        <f>IF(ISNUMBER(VLOOKUP($B97,#REF!,5,0)),VLOOKUP($B97,#REF!,5,0),"")</f>
        <v/>
      </c>
      <c r="AE97" s="599" t="str">
        <f>IF(ISNUMBER(VLOOKUP($B97,#REF!,6,0)),VLOOKUP($B97,#REF!,6,0),"")</f>
        <v/>
      </c>
      <c r="AF97" s="598" t="str">
        <f>IF(ISNUMBER(VLOOKUP($B97,#REF!,2,0)),VLOOKUP($B97,#REF!,2,0),"")</f>
        <v/>
      </c>
      <c r="AG97" s="599" t="str">
        <f>IF(ISNUMBER(VLOOKUP($B97,#REF!,3,0)),VLOOKUP($B97,#REF!,3,0),"")</f>
        <v/>
      </c>
      <c r="AH97" s="599" t="str">
        <f>IF(ISNUMBER(VLOOKUP($B97,#REF!,4,0)),VLOOKUP($B97,#REF!,4,0),"")</f>
        <v/>
      </c>
      <c r="AI97" s="599" t="str">
        <f>IF(ISNUMBER(VLOOKUP($B97,#REF!,5,0)),VLOOKUP($B97,#REF!,5,0),"")</f>
        <v/>
      </c>
      <c r="AJ97" s="599" t="str">
        <f>IF(ISNUMBER(VLOOKUP($B97,#REF!,6,0)),VLOOKUP($B97,#REF!,6,0),"")</f>
        <v/>
      </c>
      <c r="AK97" s="599" t="e">
        <f>VLOOKUP($B97,Skörd!$D$5:$M$72,7,0)</f>
        <v>#N/A</v>
      </c>
    </row>
    <row r="98" spans="1:37" hidden="1" x14ac:dyDescent="0.2">
      <c r="B98" s="596" t="s">
        <v>1110</v>
      </c>
      <c r="C98" s="598" t="str">
        <f>IF(ISNUMBER(VLOOKUP($B98,'F1'!$D$6:$G$73,2,0)),VLOOKUP($B98,'F1'!$D$6:$G$73,2,0),"")</f>
        <v/>
      </c>
      <c r="D98" s="599" t="str">
        <f>IF(ISNUMBER(VLOOKUP($B98,'F1'!$D$6:$G$73,3,0)),VLOOKUP($B98,'F1'!$D$6:$G$73,3,0),"")</f>
        <v/>
      </c>
      <c r="E98" s="599" t="str">
        <f>IF(ISNUMBER(VLOOKUP($B98,'F1'!$D$6:$G$73,4,0)),VLOOKUP($B98,'F1'!$D$6:$G$73,4,0),"")</f>
        <v/>
      </c>
      <c r="F98" s="598" t="str">
        <f>IF(ISNUMBER(VLOOKUP($B98,'F2'!$D$6:$G$73,2,0)),VLOOKUP($B98,'F2'!$D$6:$G$73,2,0),"")</f>
        <v/>
      </c>
      <c r="G98" s="599" t="str">
        <f>IF(ISNUMBER(VLOOKUP($B98,'F2'!$D$6:$G$73,3,0)),VLOOKUP($B98,'F2'!$D$6:$G$73,3,0),"")</f>
        <v/>
      </c>
      <c r="H98" s="599" t="str">
        <f>IF(ISNUMBER(VLOOKUP($B98,'F2'!$D$6:$G$73,4,0)),VLOOKUP($B98,'F2'!$D$6:$G$73,4,0),"")</f>
        <v/>
      </c>
      <c r="I98" s="598" t="str">
        <f>IF(ISNUMBER(VLOOKUP($B98,#REF!,2,0)),VLOOKUP($B98,#REF!,2,0),"")</f>
        <v/>
      </c>
      <c r="J98" s="599" t="str">
        <f>IF(ISNUMBER(VLOOKUP($B98,#REF!,3,0)),VLOOKUP($B98,#REF!,3,0),"")</f>
        <v/>
      </c>
      <c r="K98" s="599" t="str">
        <f>IF(ISNUMBER(VLOOKUP($B98,#REF!,4,0)),VLOOKUP($B98,#REF!,4,0),"")</f>
        <v/>
      </c>
      <c r="L98" s="598" t="str">
        <f>IF(ISNUMBER(VLOOKUP($B98,'G1'!$D$7:$M$74,2,0)),VLOOKUP($B98,'G1'!$D$7:$M$74,2,0),"")</f>
        <v/>
      </c>
      <c r="M98" s="599" t="str">
        <f>IF(ISNUMBER(VLOOKUP($B98,'G1'!$D$7:$M$74,3,0)),VLOOKUP($B98,'G1'!$D$7:$M$74,3,0),"")</f>
        <v/>
      </c>
      <c r="N98" s="599" t="str">
        <f>IF(ISNUMBER(VLOOKUP($B98,'G1'!$D$7:$M$74,4,0)),VLOOKUP($B98,'G1'!$D$7:$M$74,4,0),"")</f>
        <v/>
      </c>
      <c r="O98" s="599" t="str">
        <f>IF(ISNUMBER(VLOOKUP($B98,'G1'!$D$7:$M$74,5,0)),VLOOKUP($B98,'G1'!$D$7:$M$74,5,0),"")</f>
        <v/>
      </c>
      <c r="P98" s="599" t="str">
        <f>IF(ISNUMBER(VLOOKUP($B98,'G1'!$D$7:$M$74,6,0)),VLOOKUP($B98,'G1'!$D$7:$M$74,6,0),"")</f>
        <v/>
      </c>
      <c r="Q98" s="598" t="str">
        <f>IF(ISNUMBER(VLOOKUP($B98,'G2'!$D$7:$M$74,2,0)),VLOOKUP($B98,'G2'!$D$7:$M$74,2,0),"")</f>
        <v/>
      </c>
      <c r="R98" s="599" t="str">
        <f>IF(ISNUMBER(VLOOKUP($B98,'G2'!$D$7:$M$74,3,0)),VLOOKUP($B98,'G2'!$D$7:$M$74,3,0),"")</f>
        <v/>
      </c>
      <c r="S98" s="599" t="str">
        <f>IF(ISNUMBER(VLOOKUP($B98,'G2'!$D$7:$M$74,4,0)),VLOOKUP($B98,'G2'!$D$7:$M$74,4,0),"")</f>
        <v/>
      </c>
      <c r="T98" s="599" t="str">
        <f>IF(ISNUMBER(VLOOKUP($B98,'G2'!$D$7:$M$74,5,0)),VLOOKUP($B98,'G2'!$D$7:$M$74,5,0),"")</f>
        <v/>
      </c>
      <c r="U98" s="599" t="str">
        <f>IF(ISNUMBER(VLOOKUP($B98,'G2'!$D$7:$M$74,6,0)),VLOOKUP($B98,'G2'!$D$7:$M$74,6,0),"")</f>
        <v/>
      </c>
      <c r="V98" s="598" t="str">
        <f>IF(ISNUMBER(VLOOKUP($B98,'G3'!$D$7:$M$74,2,0)),VLOOKUP($B98,'G3'!$D$7:$M$74,2,0),"")</f>
        <v/>
      </c>
      <c r="W98" s="599" t="str">
        <f>IF(ISNUMBER(VLOOKUP($B98,'G3'!$D$7:$M$74,3,0)),VLOOKUP($B98,'G3'!$D$7:$M$74,3,0),"")</f>
        <v/>
      </c>
      <c r="X98" s="599" t="str">
        <f>IF(ISNUMBER(VLOOKUP($B98,'G3'!$D$7:$M$74,4,0)),VLOOKUP($B98,'G3'!$D$7:$M$74,4,0),"")</f>
        <v/>
      </c>
      <c r="Y98" s="599" t="str">
        <f>IF(ISNUMBER(VLOOKUP($B98,'G3'!$D$7:$M$74,5,0)),VLOOKUP($B98,'G3'!$D$7:$M$74,5,0),"")</f>
        <v/>
      </c>
      <c r="Z98" s="599" t="str">
        <f>IF(ISNUMBER(VLOOKUP($B98,'G3'!$D$7:$M$74,6,0)),VLOOKUP($B98,'G3'!$D$7:$M$74,6,0),"")</f>
        <v/>
      </c>
      <c r="AA98" s="598" t="str">
        <f>IF(ISNUMBER(VLOOKUP($B98,#REF!,2,0)),VLOOKUP($B98,#REF!,2,0),"")</f>
        <v/>
      </c>
      <c r="AB98" s="599" t="str">
        <f>IF(ISNUMBER(VLOOKUP($B98,#REF!,3,0)),VLOOKUP($B98,#REF!,3,0),"")</f>
        <v/>
      </c>
      <c r="AC98" s="599" t="str">
        <f>IF(ISNUMBER(VLOOKUP($B98,#REF!,4,0)),VLOOKUP($B98,#REF!,4,0),"")</f>
        <v/>
      </c>
      <c r="AD98" s="599" t="str">
        <f>IF(ISNUMBER(VLOOKUP($B98,#REF!,5,0)),VLOOKUP($B98,#REF!,5,0),"")</f>
        <v/>
      </c>
      <c r="AE98" s="599" t="str">
        <f>IF(ISNUMBER(VLOOKUP($B98,#REF!,6,0)),VLOOKUP($B98,#REF!,6,0),"")</f>
        <v/>
      </c>
      <c r="AF98" s="598" t="str">
        <f>IF(ISNUMBER(VLOOKUP($B98,#REF!,2,0)),VLOOKUP($B98,#REF!,2,0),"")</f>
        <v/>
      </c>
      <c r="AG98" s="599" t="str">
        <f>IF(ISNUMBER(VLOOKUP($B98,#REF!,3,0)),VLOOKUP($B98,#REF!,3,0),"")</f>
        <v/>
      </c>
      <c r="AH98" s="599" t="str">
        <f>IF(ISNUMBER(VLOOKUP($B98,#REF!,4,0)),VLOOKUP($B98,#REF!,4,0),"")</f>
        <v/>
      </c>
      <c r="AI98" s="599" t="str">
        <f>IF(ISNUMBER(VLOOKUP($B98,#REF!,5,0)),VLOOKUP($B98,#REF!,5,0),"")</f>
        <v/>
      </c>
      <c r="AJ98" s="599" t="str">
        <f>IF(ISNUMBER(VLOOKUP($B98,#REF!,6,0)),VLOOKUP($B98,#REF!,6,0),"")</f>
        <v/>
      </c>
      <c r="AK98" s="599" t="e">
        <f>VLOOKUP($B98,Skörd!$D$5:$M$72,7,0)</f>
        <v>#N/A</v>
      </c>
    </row>
    <row r="99" spans="1:37" hidden="1" x14ac:dyDescent="0.2">
      <c r="A99" s="601"/>
      <c r="C99" s="602">
        <f>COUNT(C31:C98)</f>
        <v>0</v>
      </c>
      <c r="D99" s="603">
        <f t="shared" ref="D99:J99" si="144">COUNT(D31:D98)</f>
        <v>0</v>
      </c>
      <c r="E99" s="603">
        <f t="shared" si="144"/>
        <v>0</v>
      </c>
      <c r="F99" s="603">
        <f t="shared" si="144"/>
        <v>0</v>
      </c>
      <c r="G99" s="603">
        <f t="shared" si="144"/>
        <v>0</v>
      </c>
      <c r="H99" s="603">
        <f t="shared" si="144"/>
        <v>0</v>
      </c>
      <c r="I99" s="603">
        <f t="shared" si="144"/>
        <v>0</v>
      </c>
      <c r="J99" s="603">
        <f t="shared" si="144"/>
        <v>0</v>
      </c>
      <c r="K99" s="603">
        <f t="shared" ref="K99" si="145">COUNT(K31:K98)</f>
        <v>0</v>
      </c>
      <c r="L99" s="603">
        <f t="shared" ref="L99" si="146">COUNT(L31:L98)</f>
        <v>0</v>
      </c>
      <c r="M99" s="603">
        <f t="shared" ref="M99" si="147">COUNT(M31:M98)</f>
        <v>0</v>
      </c>
      <c r="N99" s="603">
        <f t="shared" ref="N99" si="148">COUNT(N31:N98)</f>
        <v>0</v>
      </c>
      <c r="O99" s="603">
        <f t="shared" ref="O99" si="149">COUNT(O31:O98)</f>
        <v>0</v>
      </c>
      <c r="P99" s="603">
        <f t="shared" ref="P99" si="150">COUNT(P31:P98)</f>
        <v>0</v>
      </c>
      <c r="Q99" s="603">
        <f t="shared" ref="Q99" si="151">COUNT(Q31:Q98)</f>
        <v>0</v>
      </c>
      <c r="R99" s="603">
        <f t="shared" ref="R99" si="152">COUNT(R31:R98)</f>
        <v>0</v>
      </c>
      <c r="S99" s="603">
        <f t="shared" ref="S99" si="153">COUNT(S31:S98)</f>
        <v>0</v>
      </c>
      <c r="T99" s="603">
        <f t="shared" ref="T99" si="154">COUNT(T31:T98)</f>
        <v>0</v>
      </c>
      <c r="U99" s="603">
        <f t="shared" ref="U99" si="155">COUNT(U31:U98)</f>
        <v>0</v>
      </c>
      <c r="V99" s="603">
        <f t="shared" ref="V99" si="156">COUNT(V31:V98)</f>
        <v>0</v>
      </c>
      <c r="W99" s="603">
        <f t="shared" ref="W99" si="157">COUNT(W31:W98)</f>
        <v>0</v>
      </c>
      <c r="X99" s="603">
        <f t="shared" ref="X99" si="158">COUNT(X31:X98)</f>
        <v>0</v>
      </c>
      <c r="Y99" s="603">
        <f t="shared" ref="Y99" si="159">COUNT(Y31:Y98)</f>
        <v>0</v>
      </c>
      <c r="Z99" s="603">
        <f t="shared" ref="Z99" si="160">COUNT(Z31:Z98)</f>
        <v>0</v>
      </c>
      <c r="AA99" s="603">
        <f t="shared" ref="AA99" si="161">COUNT(AA31:AA98)</f>
        <v>0</v>
      </c>
      <c r="AB99" s="603">
        <f t="shared" ref="AB99" si="162">COUNT(AB31:AB98)</f>
        <v>0</v>
      </c>
      <c r="AC99" s="603">
        <f t="shared" ref="AC99" si="163">COUNT(AC31:AC98)</f>
        <v>0</v>
      </c>
      <c r="AD99" s="603">
        <f t="shared" ref="AD99" si="164">COUNT(AD31:AD98)</f>
        <v>0</v>
      </c>
      <c r="AE99" s="603">
        <f t="shared" ref="AE99" si="165">COUNT(AE31:AE98)</f>
        <v>0</v>
      </c>
      <c r="AF99" s="603">
        <f t="shared" ref="AF99" si="166">COUNT(AF31:AF98)</f>
        <v>0</v>
      </c>
      <c r="AG99" s="603">
        <f t="shared" ref="AG99" si="167">COUNT(AG31:AG98)</f>
        <v>0</v>
      </c>
      <c r="AH99" s="603">
        <f t="shared" ref="AH99" si="168">COUNT(AH31:AH98)</f>
        <v>0</v>
      </c>
      <c r="AI99" s="603">
        <f t="shared" ref="AI99" si="169">COUNT(AI31:AI98)</f>
        <v>0</v>
      </c>
      <c r="AJ99" s="603">
        <f t="shared" ref="AJ99" si="170">COUNT(AJ31:AJ98)</f>
        <v>0</v>
      </c>
      <c r="AK99" s="604">
        <f t="shared" ref="AK99" si="171">COUNT(AK31:AK98)</f>
        <v>0</v>
      </c>
    </row>
    <row r="100" spans="1:37" hidden="1" x14ac:dyDescent="0.2">
      <c r="A100" s="601"/>
      <c r="B100" s="601"/>
      <c r="C100" s="605">
        <f t="shared" ref="C100:K100" si="172">C99/4</f>
        <v>0</v>
      </c>
      <c r="D100" s="606">
        <f t="shared" si="172"/>
        <v>0</v>
      </c>
      <c r="E100" s="606">
        <f t="shared" si="172"/>
        <v>0</v>
      </c>
      <c r="F100" s="606">
        <f t="shared" si="172"/>
        <v>0</v>
      </c>
      <c r="G100" s="606">
        <f t="shared" si="172"/>
        <v>0</v>
      </c>
      <c r="H100" s="606">
        <f t="shared" si="172"/>
        <v>0</v>
      </c>
      <c r="I100" s="606">
        <f t="shared" si="172"/>
        <v>0</v>
      </c>
      <c r="J100" s="606">
        <f t="shared" si="172"/>
        <v>0</v>
      </c>
      <c r="K100" s="607">
        <f t="shared" si="172"/>
        <v>0</v>
      </c>
      <c r="L100" s="606">
        <f t="shared" ref="L100" si="173">L99/4</f>
        <v>0</v>
      </c>
      <c r="M100" s="606">
        <f t="shared" ref="M100" si="174">M99/4</f>
        <v>0</v>
      </c>
      <c r="N100" s="606">
        <f t="shared" ref="N100" si="175">N99/4</f>
        <v>0</v>
      </c>
      <c r="O100" s="606">
        <f t="shared" ref="O100" si="176">O99/4</f>
        <v>0</v>
      </c>
      <c r="P100" s="606">
        <f t="shared" ref="P100" si="177">P99/4</f>
        <v>0</v>
      </c>
      <c r="Q100" s="606">
        <f t="shared" ref="Q100" si="178">Q99/4</f>
        <v>0</v>
      </c>
      <c r="R100" s="606">
        <f t="shared" ref="R100" si="179">R99/4</f>
        <v>0</v>
      </c>
      <c r="S100" s="606">
        <f t="shared" ref="S100" si="180">S99/4</f>
        <v>0</v>
      </c>
      <c r="T100" s="606">
        <f t="shared" ref="T100" si="181">T99/4</f>
        <v>0</v>
      </c>
      <c r="U100" s="606">
        <f t="shared" ref="U100" si="182">U99/4</f>
        <v>0</v>
      </c>
      <c r="V100" s="606">
        <f t="shared" ref="V100" si="183">V99/4</f>
        <v>0</v>
      </c>
      <c r="W100" s="606">
        <f t="shared" ref="W100" si="184">W99/4</f>
        <v>0</v>
      </c>
      <c r="X100" s="606">
        <f t="shared" ref="X100" si="185">X99/4</f>
        <v>0</v>
      </c>
      <c r="Y100" s="606">
        <f t="shared" ref="Y100" si="186">Y99/4</f>
        <v>0</v>
      </c>
      <c r="Z100" s="606">
        <f t="shared" ref="Z100" si="187">Z99/4</f>
        <v>0</v>
      </c>
      <c r="AA100" s="606">
        <f t="shared" ref="AA100" si="188">AA99/4</f>
        <v>0</v>
      </c>
      <c r="AB100" s="606">
        <f t="shared" ref="AB100" si="189">AB99/4</f>
        <v>0</v>
      </c>
      <c r="AC100" s="606">
        <f t="shared" ref="AC100" si="190">AC99/4</f>
        <v>0</v>
      </c>
      <c r="AD100" s="606">
        <f t="shared" ref="AD100" si="191">AD99/4</f>
        <v>0</v>
      </c>
      <c r="AE100" s="606">
        <f t="shared" ref="AE100" si="192">AE99/4</f>
        <v>0</v>
      </c>
      <c r="AF100" s="606">
        <f t="shared" ref="AF100" si="193">AF99/4</f>
        <v>0</v>
      </c>
      <c r="AG100" s="606">
        <f t="shared" ref="AG100:AJ100" si="194">AG99/4</f>
        <v>0</v>
      </c>
      <c r="AH100" s="606">
        <f t="shared" si="194"/>
        <v>0</v>
      </c>
      <c r="AI100" s="606">
        <f t="shared" si="194"/>
        <v>0</v>
      </c>
      <c r="AJ100" s="606">
        <f t="shared" si="194"/>
        <v>0</v>
      </c>
      <c r="AK100" s="607">
        <f t="shared" ref="AK100" si="195">AK99/4</f>
        <v>0</v>
      </c>
    </row>
    <row r="101" spans="1:37" hidden="1" x14ac:dyDescent="0.2">
      <c r="B101" s="596">
        <v>1</v>
      </c>
      <c r="C101" s="598">
        <f t="shared" ref="C101:K101" si="196">SUM(C31:C34)^2/4</f>
        <v>0</v>
      </c>
      <c r="D101" s="599">
        <f t="shared" si="196"/>
        <v>0</v>
      </c>
      <c r="E101" s="599">
        <f t="shared" si="196"/>
        <v>0</v>
      </c>
      <c r="F101" s="599">
        <f t="shared" si="196"/>
        <v>0</v>
      </c>
      <c r="G101" s="599">
        <f t="shared" si="196"/>
        <v>0</v>
      </c>
      <c r="H101" s="599">
        <f t="shared" si="196"/>
        <v>0</v>
      </c>
      <c r="I101" s="599">
        <f t="shared" si="196"/>
        <v>0</v>
      </c>
      <c r="J101" s="599">
        <f t="shared" si="196"/>
        <v>0</v>
      </c>
      <c r="K101" s="600">
        <f t="shared" si="196"/>
        <v>0</v>
      </c>
      <c r="L101" s="596">
        <f t="shared" ref="L101:P101" si="197">SUM(L31:L34)^2/4</f>
        <v>0</v>
      </c>
      <c r="M101" s="596">
        <f t="shared" si="197"/>
        <v>0</v>
      </c>
      <c r="N101" s="596">
        <f t="shared" si="197"/>
        <v>0</v>
      </c>
      <c r="O101" s="596">
        <f t="shared" si="197"/>
        <v>0</v>
      </c>
      <c r="P101" s="596">
        <f t="shared" si="197"/>
        <v>0</v>
      </c>
      <c r="Q101" s="596">
        <f t="shared" ref="Q101:U101" si="198">SUM(Q31:Q34)^2/4</f>
        <v>0</v>
      </c>
      <c r="R101" s="596">
        <f t="shared" si="198"/>
        <v>0</v>
      </c>
      <c r="S101" s="596">
        <f t="shared" si="198"/>
        <v>0</v>
      </c>
      <c r="T101" s="596">
        <f t="shared" si="198"/>
        <v>0</v>
      </c>
      <c r="U101" s="596">
        <f t="shared" si="198"/>
        <v>0</v>
      </c>
      <c r="V101" s="596">
        <f t="shared" ref="V101:Z101" si="199">SUM(V31:V34)^2/4</f>
        <v>0</v>
      </c>
      <c r="W101" s="596">
        <f t="shared" si="199"/>
        <v>0</v>
      </c>
      <c r="X101" s="596">
        <f t="shared" si="199"/>
        <v>0</v>
      </c>
      <c r="Y101" s="596">
        <f t="shared" si="199"/>
        <v>0</v>
      </c>
      <c r="Z101" s="596">
        <f t="shared" si="199"/>
        <v>0</v>
      </c>
      <c r="AA101" s="596">
        <f t="shared" ref="AA101:AG101" si="200">SUM(AA31:AA34)^2/4</f>
        <v>0</v>
      </c>
      <c r="AB101" s="596">
        <f t="shared" si="200"/>
        <v>0</v>
      </c>
      <c r="AC101" s="596">
        <f t="shared" si="200"/>
        <v>0</v>
      </c>
      <c r="AD101" s="596">
        <f t="shared" si="200"/>
        <v>0</v>
      </c>
      <c r="AE101" s="596">
        <f t="shared" si="200"/>
        <v>0</v>
      </c>
      <c r="AF101" s="596">
        <f t="shared" si="200"/>
        <v>0</v>
      </c>
      <c r="AG101" s="596">
        <f t="shared" si="200"/>
        <v>0</v>
      </c>
      <c r="AH101" s="596">
        <f t="shared" ref="AH101:AJ101" si="201">SUM(AH31:AH34)^2/4</f>
        <v>0</v>
      </c>
      <c r="AI101" s="596">
        <f t="shared" si="201"/>
        <v>0</v>
      </c>
      <c r="AJ101" s="596">
        <f t="shared" si="201"/>
        <v>0</v>
      </c>
      <c r="AK101" s="596">
        <f t="shared" ref="AK101" si="202">SUM(AK31:AK34)^2/4</f>
        <v>0</v>
      </c>
    </row>
    <row r="102" spans="1:37" hidden="1" x14ac:dyDescent="0.2">
      <c r="B102" s="596">
        <v>2</v>
      </c>
      <c r="C102" s="598">
        <f t="shared" ref="C102:K102" si="203">SUM(C35:C38)^2/4</f>
        <v>0</v>
      </c>
      <c r="D102" s="599">
        <f t="shared" si="203"/>
        <v>0</v>
      </c>
      <c r="E102" s="599">
        <f t="shared" si="203"/>
        <v>0</v>
      </c>
      <c r="F102" s="599">
        <f t="shared" si="203"/>
        <v>0</v>
      </c>
      <c r="G102" s="599">
        <f t="shared" si="203"/>
        <v>0</v>
      </c>
      <c r="H102" s="599">
        <f t="shared" si="203"/>
        <v>0</v>
      </c>
      <c r="I102" s="599">
        <f t="shared" si="203"/>
        <v>0</v>
      </c>
      <c r="J102" s="599">
        <f t="shared" si="203"/>
        <v>0</v>
      </c>
      <c r="K102" s="600">
        <f t="shared" si="203"/>
        <v>0</v>
      </c>
      <c r="L102" s="596">
        <f t="shared" ref="L102:P102" si="204">SUM(L35:L38)^2/4</f>
        <v>0</v>
      </c>
      <c r="M102" s="596">
        <f t="shared" si="204"/>
        <v>0</v>
      </c>
      <c r="N102" s="596">
        <f t="shared" si="204"/>
        <v>0</v>
      </c>
      <c r="O102" s="596">
        <f t="shared" si="204"/>
        <v>0</v>
      </c>
      <c r="P102" s="596">
        <f t="shared" si="204"/>
        <v>0</v>
      </c>
      <c r="Q102" s="596">
        <f t="shared" ref="Q102:U102" si="205">SUM(Q35:Q38)^2/4</f>
        <v>0</v>
      </c>
      <c r="R102" s="596">
        <f t="shared" si="205"/>
        <v>0</v>
      </c>
      <c r="S102" s="596">
        <f t="shared" si="205"/>
        <v>0</v>
      </c>
      <c r="T102" s="596">
        <f t="shared" si="205"/>
        <v>0</v>
      </c>
      <c r="U102" s="596">
        <f t="shared" si="205"/>
        <v>0</v>
      </c>
      <c r="V102" s="596">
        <f t="shared" ref="V102:Z102" si="206">SUM(V35:V38)^2/4</f>
        <v>0</v>
      </c>
      <c r="W102" s="596">
        <f t="shared" si="206"/>
        <v>0</v>
      </c>
      <c r="X102" s="596">
        <f t="shared" si="206"/>
        <v>0</v>
      </c>
      <c r="Y102" s="596">
        <f t="shared" si="206"/>
        <v>0</v>
      </c>
      <c r="Z102" s="596">
        <f t="shared" si="206"/>
        <v>0</v>
      </c>
      <c r="AA102" s="596">
        <f t="shared" ref="AA102:AG102" si="207">SUM(AA35:AA38)^2/4</f>
        <v>0</v>
      </c>
      <c r="AB102" s="596">
        <f t="shared" si="207"/>
        <v>0</v>
      </c>
      <c r="AC102" s="596">
        <f t="shared" si="207"/>
        <v>0</v>
      </c>
      <c r="AD102" s="596">
        <f t="shared" si="207"/>
        <v>0</v>
      </c>
      <c r="AE102" s="596">
        <f t="shared" si="207"/>
        <v>0</v>
      </c>
      <c r="AF102" s="596">
        <f t="shared" si="207"/>
        <v>0</v>
      </c>
      <c r="AG102" s="596">
        <f t="shared" si="207"/>
        <v>0</v>
      </c>
      <c r="AH102" s="596">
        <f t="shared" ref="AH102:AJ102" si="208">SUM(AH35:AH38)^2/4</f>
        <v>0</v>
      </c>
      <c r="AI102" s="596">
        <f t="shared" si="208"/>
        <v>0</v>
      </c>
      <c r="AJ102" s="596">
        <f t="shared" si="208"/>
        <v>0</v>
      </c>
      <c r="AK102" s="596">
        <f t="shared" ref="AK102" si="209">SUM(AK35:AK38)^2/4</f>
        <v>0</v>
      </c>
    </row>
    <row r="103" spans="1:37" hidden="1" x14ac:dyDescent="0.2">
      <c r="B103" s="596">
        <v>3</v>
      </c>
      <c r="C103" s="598">
        <f t="shared" ref="C103:K103" si="210">SUM(C39:C42)^2/4</f>
        <v>0</v>
      </c>
      <c r="D103" s="599">
        <f t="shared" si="210"/>
        <v>0</v>
      </c>
      <c r="E103" s="599">
        <f t="shared" si="210"/>
        <v>0</v>
      </c>
      <c r="F103" s="599">
        <f t="shared" si="210"/>
        <v>0</v>
      </c>
      <c r="G103" s="599">
        <f t="shared" si="210"/>
        <v>0</v>
      </c>
      <c r="H103" s="599">
        <f t="shared" si="210"/>
        <v>0</v>
      </c>
      <c r="I103" s="599">
        <f t="shared" si="210"/>
        <v>0</v>
      </c>
      <c r="J103" s="599">
        <f t="shared" si="210"/>
        <v>0</v>
      </c>
      <c r="K103" s="600">
        <f t="shared" si="210"/>
        <v>0</v>
      </c>
      <c r="L103" s="596">
        <f t="shared" ref="L103:P103" si="211">SUM(L39:L42)^2/4</f>
        <v>0</v>
      </c>
      <c r="M103" s="596">
        <f t="shared" si="211"/>
        <v>0</v>
      </c>
      <c r="N103" s="596">
        <f t="shared" si="211"/>
        <v>0</v>
      </c>
      <c r="O103" s="596">
        <f t="shared" si="211"/>
        <v>0</v>
      </c>
      <c r="P103" s="596">
        <f t="shared" si="211"/>
        <v>0</v>
      </c>
      <c r="Q103" s="596">
        <f t="shared" ref="Q103:U103" si="212">SUM(Q39:Q42)^2/4</f>
        <v>0</v>
      </c>
      <c r="R103" s="596">
        <f t="shared" si="212"/>
        <v>0</v>
      </c>
      <c r="S103" s="596">
        <f t="shared" si="212"/>
        <v>0</v>
      </c>
      <c r="T103" s="596">
        <f t="shared" si="212"/>
        <v>0</v>
      </c>
      <c r="U103" s="596">
        <f t="shared" si="212"/>
        <v>0</v>
      </c>
      <c r="V103" s="596">
        <f t="shared" ref="V103:Z103" si="213">SUM(V39:V42)^2/4</f>
        <v>0</v>
      </c>
      <c r="W103" s="596">
        <f t="shared" si="213"/>
        <v>0</v>
      </c>
      <c r="X103" s="596">
        <f t="shared" si="213"/>
        <v>0</v>
      </c>
      <c r="Y103" s="596">
        <f t="shared" si="213"/>
        <v>0</v>
      </c>
      <c r="Z103" s="596">
        <f t="shared" si="213"/>
        <v>0</v>
      </c>
      <c r="AA103" s="596">
        <f t="shared" ref="AA103:AG103" si="214">SUM(AA39:AA42)^2/4</f>
        <v>0</v>
      </c>
      <c r="AB103" s="596">
        <f t="shared" si="214"/>
        <v>0</v>
      </c>
      <c r="AC103" s="596">
        <f t="shared" si="214"/>
        <v>0</v>
      </c>
      <c r="AD103" s="596">
        <f t="shared" si="214"/>
        <v>0</v>
      </c>
      <c r="AE103" s="596">
        <f t="shared" si="214"/>
        <v>0</v>
      </c>
      <c r="AF103" s="596">
        <f t="shared" si="214"/>
        <v>0</v>
      </c>
      <c r="AG103" s="596">
        <f t="shared" si="214"/>
        <v>0</v>
      </c>
      <c r="AH103" s="596">
        <f t="shared" ref="AH103:AJ103" si="215">SUM(AH39:AH42)^2/4</f>
        <v>0</v>
      </c>
      <c r="AI103" s="596">
        <f t="shared" si="215"/>
        <v>0</v>
      </c>
      <c r="AJ103" s="596">
        <f t="shared" si="215"/>
        <v>0</v>
      </c>
      <c r="AK103" s="596" t="e">
        <f t="shared" ref="AK103" si="216">SUM(AK39:AK42)^2/4</f>
        <v>#N/A</v>
      </c>
    </row>
    <row r="104" spans="1:37" hidden="1" x14ac:dyDescent="0.2">
      <c r="B104" s="596">
        <v>4</v>
      </c>
      <c r="C104" s="598">
        <f t="shared" ref="C104:K104" si="217">SUM(C43:C46)^2/4</f>
        <v>0</v>
      </c>
      <c r="D104" s="599">
        <f t="shared" si="217"/>
        <v>0</v>
      </c>
      <c r="E104" s="599">
        <f t="shared" si="217"/>
        <v>0</v>
      </c>
      <c r="F104" s="599">
        <f t="shared" si="217"/>
        <v>0</v>
      </c>
      <c r="G104" s="599">
        <f t="shared" si="217"/>
        <v>0</v>
      </c>
      <c r="H104" s="599">
        <f t="shared" si="217"/>
        <v>0</v>
      </c>
      <c r="I104" s="599">
        <f t="shared" si="217"/>
        <v>0</v>
      </c>
      <c r="J104" s="599">
        <f t="shared" si="217"/>
        <v>0</v>
      </c>
      <c r="K104" s="600">
        <f t="shared" si="217"/>
        <v>0</v>
      </c>
      <c r="L104" s="596">
        <f t="shared" ref="L104:P104" si="218">SUM(L43:L46)^2/4</f>
        <v>0</v>
      </c>
      <c r="M104" s="596">
        <f t="shared" si="218"/>
        <v>0</v>
      </c>
      <c r="N104" s="596">
        <f t="shared" si="218"/>
        <v>0</v>
      </c>
      <c r="O104" s="596">
        <f t="shared" si="218"/>
        <v>0</v>
      </c>
      <c r="P104" s="596">
        <f t="shared" si="218"/>
        <v>0</v>
      </c>
      <c r="Q104" s="596">
        <f t="shared" ref="Q104:U104" si="219">SUM(Q43:Q46)^2/4</f>
        <v>0</v>
      </c>
      <c r="R104" s="596">
        <f t="shared" si="219"/>
        <v>0</v>
      </c>
      <c r="S104" s="596">
        <f t="shared" si="219"/>
        <v>0</v>
      </c>
      <c r="T104" s="596">
        <f t="shared" si="219"/>
        <v>0</v>
      </c>
      <c r="U104" s="596">
        <f t="shared" si="219"/>
        <v>0</v>
      </c>
      <c r="V104" s="596">
        <f t="shared" ref="V104:Z104" si="220">SUM(V43:V46)^2/4</f>
        <v>0</v>
      </c>
      <c r="W104" s="596">
        <f t="shared" si="220"/>
        <v>0</v>
      </c>
      <c r="X104" s="596">
        <f t="shared" si="220"/>
        <v>0</v>
      </c>
      <c r="Y104" s="596">
        <f t="shared" si="220"/>
        <v>0</v>
      </c>
      <c r="Z104" s="596">
        <f t="shared" si="220"/>
        <v>0</v>
      </c>
      <c r="AA104" s="596">
        <f t="shared" ref="AA104:AG104" si="221">SUM(AA43:AA46)^2/4</f>
        <v>0</v>
      </c>
      <c r="AB104" s="596">
        <f t="shared" si="221"/>
        <v>0</v>
      </c>
      <c r="AC104" s="596">
        <f t="shared" si="221"/>
        <v>0</v>
      </c>
      <c r="AD104" s="596">
        <f t="shared" si="221"/>
        <v>0</v>
      </c>
      <c r="AE104" s="596">
        <f t="shared" si="221"/>
        <v>0</v>
      </c>
      <c r="AF104" s="596">
        <f t="shared" si="221"/>
        <v>0</v>
      </c>
      <c r="AG104" s="596">
        <f t="shared" si="221"/>
        <v>0</v>
      </c>
      <c r="AH104" s="596">
        <f t="shared" ref="AH104:AJ104" si="222">SUM(AH43:AH46)^2/4</f>
        <v>0</v>
      </c>
      <c r="AI104" s="596">
        <f t="shared" si="222"/>
        <v>0</v>
      </c>
      <c r="AJ104" s="596">
        <f t="shared" si="222"/>
        <v>0</v>
      </c>
      <c r="AK104" s="596">
        <f t="shared" ref="AK104" si="223">SUM(AK43:AK46)^2/4</f>
        <v>0</v>
      </c>
    </row>
    <row r="105" spans="1:37" hidden="1" x14ac:dyDescent="0.2">
      <c r="B105" s="596">
        <v>5</v>
      </c>
      <c r="C105" s="598">
        <f t="shared" ref="C105:K105" si="224">SUM(C47:C50)^2/4</f>
        <v>0</v>
      </c>
      <c r="D105" s="599">
        <f t="shared" si="224"/>
        <v>0</v>
      </c>
      <c r="E105" s="599">
        <f t="shared" si="224"/>
        <v>0</v>
      </c>
      <c r="F105" s="599">
        <f t="shared" si="224"/>
        <v>0</v>
      </c>
      <c r="G105" s="599">
        <f t="shared" si="224"/>
        <v>0</v>
      </c>
      <c r="H105" s="599">
        <f t="shared" si="224"/>
        <v>0</v>
      </c>
      <c r="I105" s="599">
        <f t="shared" si="224"/>
        <v>0</v>
      </c>
      <c r="J105" s="599">
        <f t="shared" si="224"/>
        <v>0</v>
      </c>
      <c r="K105" s="600">
        <f t="shared" si="224"/>
        <v>0</v>
      </c>
      <c r="L105" s="596">
        <f t="shared" ref="L105:P105" si="225">SUM(L47:L50)^2/4</f>
        <v>0</v>
      </c>
      <c r="M105" s="596">
        <f t="shared" si="225"/>
        <v>0</v>
      </c>
      <c r="N105" s="596">
        <f t="shared" si="225"/>
        <v>0</v>
      </c>
      <c r="O105" s="596">
        <f t="shared" si="225"/>
        <v>0</v>
      </c>
      <c r="P105" s="596">
        <f t="shared" si="225"/>
        <v>0</v>
      </c>
      <c r="Q105" s="596">
        <f t="shared" ref="Q105:U105" si="226">SUM(Q47:Q50)^2/4</f>
        <v>0</v>
      </c>
      <c r="R105" s="596">
        <f t="shared" si="226"/>
        <v>0</v>
      </c>
      <c r="S105" s="596">
        <f t="shared" si="226"/>
        <v>0</v>
      </c>
      <c r="T105" s="596">
        <f t="shared" si="226"/>
        <v>0</v>
      </c>
      <c r="U105" s="596">
        <f t="shared" si="226"/>
        <v>0</v>
      </c>
      <c r="V105" s="596">
        <f t="shared" ref="V105:Z105" si="227">SUM(V47:V50)^2/4</f>
        <v>0</v>
      </c>
      <c r="W105" s="596">
        <f t="shared" si="227"/>
        <v>0</v>
      </c>
      <c r="X105" s="596">
        <f t="shared" si="227"/>
        <v>0</v>
      </c>
      <c r="Y105" s="596">
        <f t="shared" si="227"/>
        <v>0</v>
      </c>
      <c r="Z105" s="596">
        <f t="shared" si="227"/>
        <v>0</v>
      </c>
      <c r="AA105" s="596">
        <f t="shared" ref="AA105:AG105" si="228">SUM(AA47:AA50)^2/4</f>
        <v>0</v>
      </c>
      <c r="AB105" s="596">
        <f t="shared" si="228"/>
        <v>0</v>
      </c>
      <c r="AC105" s="596">
        <f t="shared" si="228"/>
        <v>0</v>
      </c>
      <c r="AD105" s="596">
        <f t="shared" si="228"/>
        <v>0</v>
      </c>
      <c r="AE105" s="596">
        <f t="shared" si="228"/>
        <v>0</v>
      </c>
      <c r="AF105" s="596">
        <f t="shared" si="228"/>
        <v>0</v>
      </c>
      <c r="AG105" s="596">
        <f t="shared" si="228"/>
        <v>0</v>
      </c>
      <c r="AH105" s="596">
        <f t="shared" ref="AH105:AJ105" si="229">SUM(AH47:AH50)^2/4</f>
        <v>0</v>
      </c>
      <c r="AI105" s="596">
        <f t="shared" si="229"/>
        <v>0</v>
      </c>
      <c r="AJ105" s="596">
        <f t="shared" si="229"/>
        <v>0</v>
      </c>
      <c r="AK105" s="596">
        <f t="shared" ref="AK105" si="230">SUM(AK47:AK50)^2/4</f>
        <v>0</v>
      </c>
    </row>
    <row r="106" spans="1:37" hidden="1" x14ac:dyDescent="0.2">
      <c r="B106" s="596">
        <f>IF(PM!A26&gt;0,PM!A26,"")</f>
        <v>6</v>
      </c>
      <c r="C106" s="598">
        <f t="shared" ref="C106:K106" si="231">SUM(C51:C54)^2/4</f>
        <v>0</v>
      </c>
      <c r="D106" s="599">
        <f t="shared" si="231"/>
        <v>0</v>
      </c>
      <c r="E106" s="599">
        <f t="shared" si="231"/>
        <v>0</v>
      </c>
      <c r="F106" s="599">
        <f t="shared" si="231"/>
        <v>0</v>
      </c>
      <c r="G106" s="599">
        <f t="shared" si="231"/>
        <v>0</v>
      </c>
      <c r="H106" s="599">
        <f t="shared" si="231"/>
        <v>0</v>
      </c>
      <c r="I106" s="599">
        <f t="shared" si="231"/>
        <v>0</v>
      </c>
      <c r="J106" s="599">
        <f t="shared" si="231"/>
        <v>0</v>
      </c>
      <c r="K106" s="600">
        <f t="shared" si="231"/>
        <v>0</v>
      </c>
      <c r="L106" s="596">
        <f t="shared" ref="L106:P106" si="232">SUM(L51:L54)^2/4</f>
        <v>0</v>
      </c>
      <c r="M106" s="596">
        <f t="shared" si="232"/>
        <v>0</v>
      </c>
      <c r="N106" s="596">
        <f t="shared" si="232"/>
        <v>0</v>
      </c>
      <c r="O106" s="596">
        <f t="shared" si="232"/>
        <v>0</v>
      </c>
      <c r="P106" s="596">
        <f t="shared" si="232"/>
        <v>0</v>
      </c>
      <c r="Q106" s="596">
        <f t="shared" ref="Q106:U106" si="233">SUM(Q51:Q54)^2/4</f>
        <v>0</v>
      </c>
      <c r="R106" s="596">
        <f t="shared" si="233"/>
        <v>0</v>
      </c>
      <c r="S106" s="596">
        <f t="shared" si="233"/>
        <v>0</v>
      </c>
      <c r="T106" s="596">
        <f t="shared" si="233"/>
        <v>0</v>
      </c>
      <c r="U106" s="596">
        <f t="shared" si="233"/>
        <v>0</v>
      </c>
      <c r="V106" s="596">
        <f t="shared" ref="V106:Z106" si="234">SUM(V51:V54)^2/4</f>
        <v>0</v>
      </c>
      <c r="W106" s="596">
        <f t="shared" si="234"/>
        <v>0</v>
      </c>
      <c r="X106" s="596">
        <f t="shared" si="234"/>
        <v>0</v>
      </c>
      <c r="Y106" s="596">
        <f t="shared" si="234"/>
        <v>0</v>
      </c>
      <c r="Z106" s="596">
        <f t="shared" si="234"/>
        <v>0</v>
      </c>
      <c r="AA106" s="596">
        <f t="shared" ref="AA106:AG106" si="235">SUM(AA51:AA54)^2/4</f>
        <v>0</v>
      </c>
      <c r="AB106" s="596">
        <f t="shared" si="235"/>
        <v>0</v>
      </c>
      <c r="AC106" s="596">
        <f t="shared" si="235"/>
        <v>0</v>
      </c>
      <c r="AD106" s="596">
        <f t="shared" si="235"/>
        <v>0</v>
      </c>
      <c r="AE106" s="596">
        <f t="shared" si="235"/>
        <v>0</v>
      </c>
      <c r="AF106" s="596">
        <f t="shared" si="235"/>
        <v>0</v>
      </c>
      <c r="AG106" s="596">
        <f t="shared" si="235"/>
        <v>0</v>
      </c>
      <c r="AH106" s="596">
        <f t="shared" ref="AH106:AJ106" si="236">SUM(AH51:AH54)^2/4</f>
        <v>0</v>
      </c>
      <c r="AI106" s="596">
        <f t="shared" si="236"/>
        <v>0</v>
      </c>
      <c r="AJ106" s="596">
        <f t="shared" si="236"/>
        <v>0</v>
      </c>
      <c r="AK106" s="596" t="e">
        <f t="shared" ref="AK106" si="237">SUM(AK51:AK54)^2/4</f>
        <v>#N/A</v>
      </c>
    </row>
    <row r="107" spans="1:37" hidden="1" x14ac:dyDescent="0.2">
      <c r="B107" s="596">
        <f>IF(PM!A27&gt;0,PM!A27,"")</f>
        <v>7</v>
      </c>
      <c r="C107" s="598">
        <f t="shared" ref="C107:K107" si="238">SUM(C55:C58)^2/4</f>
        <v>0</v>
      </c>
      <c r="D107" s="599">
        <f t="shared" si="238"/>
        <v>0</v>
      </c>
      <c r="E107" s="599">
        <f t="shared" si="238"/>
        <v>0</v>
      </c>
      <c r="F107" s="599">
        <f t="shared" si="238"/>
        <v>0</v>
      </c>
      <c r="G107" s="599">
        <f t="shared" si="238"/>
        <v>0</v>
      </c>
      <c r="H107" s="599">
        <f t="shared" si="238"/>
        <v>0</v>
      </c>
      <c r="I107" s="599">
        <f t="shared" si="238"/>
        <v>0</v>
      </c>
      <c r="J107" s="599">
        <f t="shared" si="238"/>
        <v>0</v>
      </c>
      <c r="K107" s="600">
        <f t="shared" si="238"/>
        <v>0</v>
      </c>
      <c r="L107" s="596">
        <f t="shared" ref="L107:P107" si="239">SUM(L55:L58)^2/4</f>
        <v>0</v>
      </c>
      <c r="M107" s="596">
        <f t="shared" si="239"/>
        <v>0</v>
      </c>
      <c r="N107" s="596">
        <f t="shared" si="239"/>
        <v>0</v>
      </c>
      <c r="O107" s="596">
        <f t="shared" si="239"/>
        <v>0</v>
      </c>
      <c r="P107" s="596">
        <f t="shared" si="239"/>
        <v>0</v>
      </c>
      <c r="Q107" s="596">
        <f t="shared" ref="Q107:U107" si="240">SUM(Q55:Q58)^2/4</f>
        <v>0</v>
      </c>
      <c r="R107" s="596">
        <f t="shared" si="240"/>
        <v>0</v>
      </c>
      <c r="S107" s="596">
        <f t="shared" si="240"/>
        <v>0</v>
      </c>
      <c r="T107" s="596">
        <f t="shared" si="240"/>
        <v>0</v>
      </c>
      <c r="U107" s="596">
        <f t="shared" si="240"/>
        <v>0</v>
      </c>
      <c r="V107" s="596">
        <f t="shared" ref="V107:Z107" si="241">SUM(V55:V58)^2/4</f>
        <v>0</v>
      </c>
      <c r="W107" s="596">
        <f t="shared" si="241"/>
        <v>0</v>
      </c>
      <c r="X107" s="596">
        <f t="shared" si="241"/>
        <v>0</v>
      </c>
      <c r="Y107" s="596">
        <f t="shared" si="241"/>
        <v>0</v>
      </c>
      <c r="Z107" s="596">
        <f t="shared" si="241"/>
        <v>0</v>
      </c>
      <c r="AA107" s="596">
        <f t="shared" ref="AA107:AG107" si="242">SUM(AA55:AA58)^2/4</f>
        <v>0</v>
      </c>
      <c r="AB107" s="596">
        <f t="shared" si="242"/>
        <v>0</v>
      </c>
      <c r="AC107" s="596">
        <f t="shared" si="242"/>
        <v>0</v>
      </c>
      <c r="AD107" s="596">
        <f t="shared" si="242"/>
        <v>0</v>
      </c>
      <c r="AE107" s="596">
        <f t="shared" si="242"/>
        <v>0</v>
      </c>
      <c r="AF107" s="596">
        <f t="shared" si="242"/>
        <v>0</v>
      </c>
      <c r="AG107" s="596">
        <f t="shared" si="242"/>
        <v>0</v>
      </c>
      <c r="AH107" s="596">
        <f t="shared" ref="AH107:AJ107" si="243">SUM(AH55:AH58)^2/4</f>
        <v>0</v>
      </c>
      <c r="AI107" s="596">
        <f t="shared" si="243"/>
        <v>0</v>
      </c>
      <c r="AJ107" s="596">
        <f t="shared" si="243"/>
        <v>0</v>
      </c>
      <c r="AK107" s="596">
        <f t="shared" ref="AK107" si="244">SUM(AK55:AK58)^2/4</f>
        <v>0</v>
      </c>
    </row>
    <row r="108" spans="1:37" hidden="1" x14ac:dyDescent="0.2">
      <c r="B108" s="596" t="str">
        <f>IF(PM!A28&gt;0,PM!A28,"")</f>
        <v/>
      </c>
      <c r="C108" s="598">
        <f t="shared" ref="C108:K108" si="245">SUM(C59:C62)^2/4</f>
        <v>0</v>
      </c>
      <c r="D108" s="599">
        <f t="shared" si="245"/>
        <v>0</v>
      </c>
      <c r="E108" s="599">
        <f t="shared" si="245"/>
        <v>0</v>
      </c>
      <c r="F108" s="599">
        <f t="shared" si="245"/>
        <v>0</v>
      </c>
      <c r="G108" s="599">
        <f t="shared" si="245"/>
        <v>0</v>
      </c>
      <c r="H108" s="599">
        <f t="shared" si="245"/>
        <v>0</v>
      </c>
      <c r="I108" s="599">
        <f t="shared" si="245"/>
        <v>0</v>
      </c>
      <c r="J108" s="599">
        <f t="shared" si="245"/>
        <v>0</v>
      </c>
      <c r="K108" s="600">
        <f t="shared" si="245"/>
        <v>0</v>
      </c>
      <c r="L108" s="596">
        <f t="shared" ref="L108:P108" si="246">SUM(L59:L62)^2/4</f>
        <v>0</v>
      </c>
      <c r="M108" s="596">
        <f t="shared" si="246"/>
        <v>0</v>
      </c>
      <c r="N108" s="596">
        <f t="shared" si="246"/>
        <v>0</v>
      </c>
      <c r="O108" s="596">
        <f t="shared" si="246"/>
        <v>0</v>
      </c>
      <c r="P108" s="596">
        <f t="shared" si="246"/>
        <v>0</v>
      </c>
      <c r="Q108" s="596">
        <f t="shared" ref="Q108:U108" si="247">SUM(Q59:Q62)^2/4</f>
        <v>0</v>
      </c>
      <c r="R108" s="596">
        <f t="shared" si="247"/>
        <v>0</v>
      </c>
      <c r="S108" s="596">
        <f t="shared" si="247"/>
        <v>0</v>
      </c>
      <c r="T108" s="596">
        <f t="shared" si="247"/>
        <v>0</v>
      </c>
      <c r="U108" s="596">
        <f t="shared" si="247"/>
        <v>0</v>
      </c>
      <c r="V108" s="596">
        <f t="shared" ref="V108:Z108" si="248">SUM(V59:V62)^2/4</f>
        <v>0</v>
      </c>
      <c r="W108" s="596">
        <f t="shared" si="248"/>
        <v>0</v>
      </c>
      <c r="X108" s="596">
        <f t="shared" si="248"/>
        <v>0</v>
      </c>
      <c r="Y108" s="596">
        <f t="shared" si="248"/>
        <v>0</v>
      </c>
      <c r="Z108" s="596">
        <f t="shared" si="248"/>
        <v>0</v>
      </c>
      <c r="AA108" s="596">
        <f t="shared" ref="AA108:AG108" si="249">SUM(AA59:AA62)^2/4</f>
        <v>0</v>
      </c>
      <c r="AB108" s="596">
        <f t="shared" si="249"/>
        <v>0</v>
      </c>
      <c r="AC108" s="596">
        <f t="shared" si="249"/>
        <v>0</v>
      </c>
      <c r="AD108" s="596">
        <f t="shared" si="249"/>
        <v>0</v>
      </c>
      <c r="AE108" s="596">
        <f t="shared" si="249"/>
        <v>0</v>
      </c>
      <c r="AF108" s="596">
        <f t="shared" si="249"/>
        <v>0</v>
      </c>
      <c r="AG108" s="596">
        <f t="shared" si="249"/>
        <v>0</v>
      </c>
      <c r="AH108" s="596">
        <f t="shared" ref="AH108:AJ108" si="250">SUM(AH59:AH62)^2/4</f>
        <v>0</v>
      </c>
      <c r="AI108" s="596">
        <f t="shared" si="250"/>
        <v>0</v>
      </c>
      <c r="AJ108" s="596">
        <f t="shared" si="250"/>
        <v>0</v>
      </c>
      <c r="AK108" s="596" t="e">
        <f t="shared" ref="AK108" si="251">SUM(AK59:AK62)^2/4</f>
        <v>#N/A</v>
      </c>
    </row>
    <row r="109" spans="1:37" hidden="1" x14ac:dyDescent="0.2">
      <c r="B109" s="596" t="str">
        <f>IF(PM!A29&gt;0,PM!A29,"")</f>
        <v/>
      </c>
      <c r="C109" s="598">
        <f t="shared" ref="C109:K109" si="252">SUM(C63:C66)^2/4</f>
        <v>0</v>
      </c>
      <c r="D109" s="599">
        <f t="shared" si="252"/>
        <v>0</v>
      </c>
      <c r="E109" s="599">
        <f t="shared" si="252"/>
        <v>0</v>
      </c>
      <c r="F109" s="599">
        <f t="shared" si="252"/>
        <v>0</v>
      </c>
      <c r="G109" s="599">
        <f t="shared" si="252"/>
        <v>0</v>
      </c>
      <c r="H109" s="599">
        <f t="shared" si="252"/>
        <v>0</v>
      </c>
      <c r="I109" s="599">
        <f t="shared" si="252"/>
        <v>0</v>
      </c>
      <c r="J109" s="599">
        <f t="shared" si="252"/>
        <v>0</v>
      </c>
      <c r="K109" s="600">
        <f t="shared" si="252"/>
        <v>0</v>
      </c>
      <c r="L109" s="596">
        <f t="shared" ref="L109:P109" si="253">SUM(L63:L66)^2/4</f>
        <v>0</v>
      </c>
      <c r="M109" s="596">
        <f t="shared" si="253"/>
        <v>0</v>
      </c>
      <c r="N109" s="596">
        <f t="shared" si="253"/>
        <v>0</v>
      </c>
      <c r="O109" s="596">
        <f t="shared" si="253"/>
        <v>0</v>
      </c>
      <c r="P109" s="596">
        <f t="shared" si="253"/>
        <v>0</v>
      </c>
      <c r="Q109" s="596">
        <f t="shared" ref="Q109:U109" si="254">SUM(Q63:Q66)^2/4</f>
        <v>0</v>
      </c>
      <c r="R109" s="596">
        <f t="shared" si="254"/>
        <v>0</v>
      </c>
      <c r="S109" s="596">
        <f t="shared" si="254"/>
        <v>0</v>
      </c>
      <c r="T109" s="596">
        <f t="shared" si="254"/>
        <v>0</v>
      </c>
      <c r="U109" s="596">
        <f t="shared" si="254"/>
        <v>0</v>
      </c>
      <c r="V109" s="596">
        <f t="shared" ref="V109:Z109" si="255">SUM(V63:V66)^2/4</f>
        <v>0</v>
      </c>
      <c r="W109" s="596">
        <f t="shared" si="255"/>
        <v>0</v>
      </c>
      <c r="X109" s="596">
        <f t="shared" si="255"/>
        <v>0</v>
      </c>
      <c r="Y109" s="596">
        <f t="shared" si="255"/>
        <v>0</v>
      </c>
      <c r="Z109" s="596">
        <f t="shared" si="255"/>
        <v>0</v>
      </c>
      <c r="AA109" s="596">
        <f t="shared" ref="AA109:AG109" si="256">SUM(AA63:AA66)^2/4</f>
        <v>0</v>
      </c>
      <c r="AB109" s="596">
        <f t="shared" si="256"/>
        <v>0</v>
      </c>
      <c r="AC109" s="596">
        <f t="shared" si="256"/>
        <v>0</v>
      </c>
      <c r="AD109" s="596">
        <f t="shared" si="256"/>
        <v>0</v>
      </c>
      <c r="AE109" s="596">
        <f t="shared" si="256"/>
        <v>0</v>
      </c>
      <c r="AF109" s="596">
        <f t="shared" si="256"/>
        <v>0</v>
      </c>
      <c r="AG109" s="596">
        <f t="shared" si="256"/>
        <v>0</v>
      </c>
      <c r="AH109" s="596">
        <f t="shared" ref="AH109:AJ109" si="257">SUM(AH63:AH66)^2/4</f>
        <v>0</v>
      </c>
      <c r="AI109" s="596">
        <f t="shared" si="257"/>
        <v>0</v>
      </c>
      <c r="AJ109" s="596">
        <f t="shared" si="257"/>
        <v>0</v>
      </c>
      <c r="AK109" s="596" t="e">
        <f t="shared" ref="AK109" si="258">SUM(AK63:AK66)^2/4</f>
        <v>#N/A</v>
      </c>
    </row>
    <row r="110" spans="1:37" hidden="1" x14ac:dyDescent="0.2">
      <c r="B110" s="596" t="str">
        <f>IF(PM!A30&gt;0,PM!A30,"")</f>
        <v/>
      </c>
      <c r="C110" s="598">
        <f t="shared" ref="C110:K110" si="259">SUM(C67:C70)^2/4</f>
        <v>0</v>
      </c>
      <c r="D110" s="599">
        <f t="shared" si="259"/>
        <v>0</v>
      </c>
      <c r="E110" s="599">
        <f t="shared" si="259"/>
        <v>0</v>
      </c>
      <c r="F110" s="599">
        <f t="shared" si="259"/>
        <v>0</v>
      </c>
      <c r="G110" s="599">
        <f t="shared" si="259"/>
        <v>0</v>
      </c>
      <c r="H110" s="599">
        <f t="shared" si="259"/>
        <v>0</v>
      </c>
      <c r="I110" s="599">
        <f t="shared" si="259"/>
        <v>0</v>
      </c>
      <c r="J110" s="599">
        <f t="shared" si="259"/>
        <v>0</v>
      </c>
      <c r="K110" s="600">
        <f t="shared" si="259"/>
        <v>0</v>
      </c>
      <c r="L110" s="596">
        <f t="shared" ref="L110:P110" si="260">SUM(L67:L70)^2/4</f>
        <v>0</v>
      </c>
      <c r="M110" s="596">
        <f t="shared" si="260"/>
        <v>0</v>
      </c>
      <c r="N110" s="596">
        <f t="shared" si="260"/>
        <v>0</v>
      </c>
      <c r="O110" s="596">
        <f t="shared" si="260"/>
        <v>0</v>
      </c>
      <c r="P110" s="596">
        <f t="shared" si="260"/>
        <v>0</v>
      </c>
      <c r="Q110" s="596">
        <f t="shared" ref="Q110:U110" si="261">SUM(Q67:Q70)^2/4</f>
        <v>0</v>
      </c>
      <c r="R110" s="596">
        <f t="shared" si="261"/>
        <v>0</v>
      </c>
      <c r="S110" s="596">
        <f t="shared" si="261"/>
        <v>0</v>
      </c>
      <c r="T110" s="596">
        <f t="shared" si="261"/>
        <v>0</v>
      </c>
      <c r="U110" s="596">
        <f t="shared" si="261"/>
        <v>0</v>
      </c>
      <c r="V110" s="596">
        <f t="shared" ref="V110:Z110" si="262">SUM(V67:V70)^2/4</f>
        <v>0</v>
      </c>
      <c r="W110" s="596">
        <f t="shared" si="262"/>
        <v>0</v>
      </c>
      <c r="X110" s="596">
        <f t="shared" si="262"/>
        <v>0</v>
      </c>
      <c r="Y110" s="596">
        <f t="shared" si="262"/>
        <v>0</v>
      </c>
      <c r="Z110" s="596">
        <f t="shared" si="262"/>
        <v>0</v>
      </c>
      <c r="AA110" s="596">
        <f t="shared" ref="AA110:AG110" si="263">SUM(AA67:AA70)^2/4</f>
        <v>0</v>
      </c>
      <c r="AB110" s="596">
        <f t="shared" si="263"/>
        <v>0</v>
      </c>
      <c r="AC110" s="596">
        <f t="shared" si="263"/>
        <v>0</v>
      </c>
      <c r="AD110" s="596">
        <f t="shared" si="263"/>
        <v>0</v>
      </c>
      <c r="AE110" s="596">
        <f t="shared" si="263"/>
        <v>0</v>
      </c>
      <c r="AF110" s="596">
        <f t="shared" si="263"/>
        <v>0</v>
      </c>
      <c r="AG110" s="596">
        <f t="shared" si="263"/>
        <v>0</v>
      </c>
      <c r="AH110" s="596">
        <f t="shared" ref="AH110:AJ110" si="264">SUM(AH67:AH70)^2/4</f>
        <v>0</v>
      </c>
      <c r="AI110" s="596">
        <f t="shared" si="264"/>
        <v>0</v>
      </c>
      <c r="AJ110" s="596">
        <f t="shared" si="264"/>
        <v>0</v>
      </c>
      <c r="AK110" s="596" t="e">
        <f t="shared" ref="AK110" si="265">SUM(AK67:AK70)^2/4</f>
        <v>#N/A</v>
      </c>
    </row>
    <row r="111" spans="1:37" hidden="1" x14ac:dyDescent="0.2">
      <c r="B111" s="596" t="str">
        <f>IF(PM!A31&gt;0,PM!A31,"")</f>
        <v/>
      </c>
      <c r="C111" s="598">
        <f t="shared" ref="C111:K111" si="266">SUM(C71:C74)^2/4</f>
        <v>0</v>
      </c>
      <c r="D111" s="599">
        <f t="shared" si="266"/>
        <v>0</v>
      </c>
      <c r="E111" s="599">
        <f t="shared" si="266"/>
        <v>0</v>
      </c>
      <c r="F111" s="599">
        <f t="shared" si="266"/>
        <v>0</v>
      </c>
      <c r="G111" s="599">
        <f t="shared" si="266"/>
        <v>0</v>
      </c>
      <c r="H111" s="599">
        <f t="shared" si="266"/>
        <v>0</v>
      </c>
      <c r="I111" s="599">
        <f t="shared" si="266"/>
        <v>0</v>
      </c>
      <c r="J111" s="599">
        <f t="shared" si="266"/>
        <v>0</v>
      </c>
      <c r="K111" s="600">
        <f t="shared" si="266"/>
        <v>0</v>
      </c>
      <c r="L111" s="596">
        <f t="shared" ref="L111:P111" si="267">SUM(L71:L74)^2/4</f>
        <v>0</v>
      </c>
      <c r="M111" s="596">
        <f t="shared" si="267"/>
        <v>0</v>
      </c>
      <c r="N111" s="596">
        <f t="shared" si="267"/>
        <v>0</v>
      </c>
      <c r="O111" s="596">
        <f t="shared" si="267"/>
        <v>0</v>
      </c>
      <c r="P111" s="596">
        <f t="shared" si="267"/>
        <v>0</v>
      </c>
      <c r="Q111" s="596">
        <f t="shared" ref="Q111:U111" si="268">SUM(Q71:Q74)^2/4</f>
        <v>0</v>
      </c>
      <c r="R111" s="596">
        <f t="shared" si="268"/>
        <v>0</v>
      </c>
      <c r="S111" s="596">
        <f t="shared" si="268"/>
        <v>0</v>
      </c>
      <c r="T111" s="596">
        <f t="shared" si="268"/>
        <v>0</v>
      </c>
      <c r="U111" s="596">
        <f t="shared" si="268"/>
        <v>0</v>
      </c>
      <c r="V111" s="596">
        <f t="shared" ref="V111:Z111" si="269">SUM(V71:V74)^2/4</f>
        <v>0</v>
      </c>
      <c r="W111" s="596">
        <f t="shared" si="269"/>
        <v>0</v>
      </c>
      <c r="X111" s="596">
        <f t="shared" si="269"/>
        <v>0</v>
      </c>
      <c r="Y111" s="596">
        <f t="shared" si="269"/>
        <v>0</v>
      </c>
      <c r="Z111" s="596">
        <f t="shared" si="269"/>
        <v>0</v>
      </c>
      <c r="AA111" s="596">
        <f t="shared" ref="AA111:AG111" si="270">SUM(AA71:AA74)^2/4</f>
        <v>0</v>
      </c>
      <c r="AB111" s="596">
        <f t="shared" si="270"/>
        <v>0</v>
      </c>
      <c r="AC111" s="596">
        <f t="shared" si="270"/>
        <v>0</v>
      </c>
      <c r="AD111" s="596">
        <f t="shared" si="270"/>
        <v>0</v>
      </c>
      <c r="AE111" s="596">
        <f t="shared" si="270"/>
        <v>0</v>
      </c>
      <c r="AF111" s="596">
        <f t="shared" si="270"/>
        <v>0</v>
      </c>
      <c r="AG111" s="596">
        <f t="shared" si="270"/>
        <v>0</v>
      </c>
      <c r="AH111" s="596">
        <f t="shared" ref="AH111:AJ111" si="271">SUM(AH71:AH74)^2/4</f>
        <v>0</v>
      </c>
      <c r="AI111" s="596">
        <f t="shared" si="271"/>
        <v>0</v>
      </c>
      <c r="AJ111" s="596">
        <f t="shared" si="271"/>
        <v>0</v>
      </c>
      <c r="AK111" s="596" t="e">
        <f t="shared" ref="AK111" si="272">SUM(AK71:AK74)^2/4</f>
        <v>#N/A</v>
      </c>
    </row>
    <row r="112" spans="1:37" hidden="1" x14ac:dyDescent="0.2">
      <c r="B112" s="596" t="str">
        <f>IF(PM!A32&gt;0,PM!A32,"")</f>
        <v/>
      </c>
      <c r="C112" s="598">
        <f t="shared" ref="C112:K112" si="273">SUM(C75:C78)^2/4</f>
        <v>0</v>
      </c>
      <c r="D112" s="599">
        <f t="shared" si="273"/>
        <v>0</v>
      </c>
      <c r="E112" s="599">
        <f t="shared" si="273"/>
        <v>0</v>
      </c>
      <c r="F112" s="599">
        <f t="shared" si="273"/>
        <v>0</v>
      </c>
      <c r="G112" s="599">
        <f t="shared" si="273"/>
        <v>0</v>
      </c>
      <c r="H112" s="599">
        <f t="shared" si="273"/>
        <v>0</v>
      </c>
      <c r="I112" s="599">
        <f t="shared" si="273"/>
        <v>0</v>
      </c>
      <c r="J112" s="599">
        <f t="shared" si="273"/>
        <v>0</v>
      </c>
      <c r="K112" s="600">
        <f t="shared" si="273"/>
        <v>0</v>
      </c>
      <c r="L112" s="596">
        <f t="shared" ref="L112:P112" si="274">SUM(L75:L78)^2/4</f>
        <v>0</v>
      </c>
      <c r="M112" s="596">
        <f t="shared" si="274"/>
        <v>0</v>
      </c>
      <c r="N112" s="596">
        <f t="shared" si="274"/>
        <v>0</v>
      </c>
      <c r="O112" s="596">
        <f t="shared" si="274"/>
        <v>0</v>
      </c>
      <c r="P112" s="596">
        <f t="shared" si="274"/>
        <v>0</v>
      </c>
      <c r="Q112" s="596">
        <f t="shared" ref="Q112:U112" si="275">SUM(Q75:Q78)^2/4</f>
        <v>0</v>
      </c>
      <c r="R112" s="596">
        <f t="shared" si="275"/>
        <v>0</v>
      </c>
      <c r="S112" s="596">
        <f t="shared" si="275"/>
        <v>0</v>
      </c>
      <c r="T112" s="596">
        <f t="shared" si="275"/>
        <v>0</v>
      </c>
      <c r="U112" s="596">
        <f t="shared" si="275"/>
        <v>0</v>
      </c>
      <c r="V112" s="596">
        <f t="shared" ref="V112:Z112" si="276">SUM(V75:V78)^2/4</f>
        <v>0</v>
      </c>
      <c r="W112" s="596">
        <f t="shared" si="276"/>
        <v>0</v>
      </c>
      <c r="X112" s="596">
        <f t="shared" si="276"/>
        <v>0</v>
      </c>
      <c r="Y112" s="596">
        <f t="shared" si="276"/>
        <v>0</v>
      </c>
      <c r="Z112" s="596">
        <f t="shared" si="276"/>
        <v>0</v>
      </c>
      <c r="AA112" s="596">
        <f t="shared" ref="AA112:AG112" si="277">SUM(AA75:AA78)^2/4</f>
        <v>0</v>
      </c>
      <c r="AB112" s="596">
        <f t="shared" si="277"/>
        <v>0</v>
      </c>
      <c r="AC112" s="596">
        <f t="shared" si="277"/>
        <v>0</v>
      </c>
      <c r="AD112" s="596">
        <f t="shared" si="277"/>
        <v>0</v>
      </c>
      <c r="AE112" s="596">
        <f t="shared" si="277"/>
        <v>0</v>
      </c>
      <c r="AF112" s="596">
        <f t="shared" si="277"/>
        <v>0</v>
      </c>
      <c r="AG112" s="596">
        <f t="shared" si="277"/>
        <v>0</v>
      </c>
      <c r="AH112" s="596">
        <f t="shared" ref="AH112:AJ112" si="278">SUM(AH75:AH78)^2/4</f>
        <v>0</v>
      </c>
      <c r="AI112" s="596">
        <f t="shared" si="278"/>
        <v>0</v>
      </c>
      <c r="AJ112" s="596">
        <f t="shared" si="278"/>
        <v>0</v>
      </c>
      <c r="AK112" s="596" t="e">
        <f t="shared" ref="AK112" si="279">SUM(AK75:AK78)^2/4</f>
        <v>#N/A</v>
      </c>
    </row>
    <row r="113" spans="1:37" hidden="1" x14ac:dyDescent="0.2">
      <c r="B113" s="596" t="str">
        <f>IF(PM!A33&gt;0,PM!A33,"")</f>
        <v/>
      </c>
      <c r="C113" s="598">
        <f t="shared" ref="C113:K113" si="280">SUM(C79:C82)^2/4</f>
        <v>0</v>
      </c>
      <c r="D113" s="599">
        <f t="shared" si="280"/>
        <v>0</v>
      </c>
      <c r="E113" s="599">
        <f t="shared" si="280"/>
        <v>0</v>
      </c>
      <c r="F113" s="599">
        <f t="shared" si="280"/>
        <v>0</v>
      </c>
      <c r="G113" s="599">
        <f t="shared" si="280"/>
        <v>0</v>
      </c>
      <c r="H113" s="599">
        <f t="shared" si="280"/>
        <v>0</v>
      </c>
      <c r="I113" s="599">
        <f t="shared" si="280"/>
        <v>0</v>
      </c>
      <c r="J113" s="599">
        <f t="shared" si="280"/>
        <v>0</v>
      </c>
      <c r="K113" s="600">
        <f t="shared" si="280"/>
        <v>0</v>
      </c>
      <c r="L113" s="596">
        <f t="shared" ref="L113:P113" si="281">SUM(L79:L82)^2/4</f>
        <v>0</v>
      </c>
      <c r="M113" s="596">
        <f t="shared" si="281"/>
        <v>0</v>
      </c>
      <c r="N113" s="596">
        <f t="shared" si="281"/>
        <v>0</v>
      </c>
      <c r="O113" s="596">
        <f t="shared" si="281"/>
        <v>0</v>
      </c>
      <c r="P113" s="596">
        <f t="shared" si="281"/>
        <v>0</v>
      </c>
      <c r="Q113" s="596">
        <f t="shared" ref="Q113:U113" si="282">SUM(Q79:Q82)^2/4</f>
        <v>0</v>
      </c>
      <c r="R113" s="596">
        <f t="shared" si="282"/>
        <v>0</v>
      </c>
      <c r="S113" s="596">
        <f t="shared" si="282"/>
        <v>0</v>
      </c>
      <c r="T113" s="596">
        <f t="shared" si="282"/>
        <v>0</v>
      </c>
      <c r="U113" s="596">
        <f t="shared" si="282"/>
        <v>0</v>
      </c>
      <c r="V113" s="596">
        <f t="shared" ref="V113:Z113" si="283">SUM(V79:V82)^2/4</f>
        <v>0</v>
      </c>
      <c r="W113" s="596">
        <f t="shared" si="283"/>
        <v>0</v>
      </c>
      <c r="X113" s="596">
        <f t="shared" si="283"/>
        <v>0</v>
      </c>
      <c r="Y113" s="596">
        <f t="shared" si="283"/>
        <v>0</v>
      </c>
      <c r="Z113" s="596">
        <f t="shared" si="283"/>
        <v>0</v>
      </c>
      <c r="AA113" s="596">
        <f t="shared" ref="AA113:AG113" si="284">SUM(AA79:AA82)^2/4</f>
        <v>0</v>
      </c>
      <c r="AB113" s="596">
        <f t="shared" si="284"/>
        <v>0</v>
      </c>
      <c r="AC113" s="596">
        <f t="shared" si="284"/>
        <v>0</v>
      </c>
      <c r="AD113" s="596">
        <f t="shared" si="284"/>
        <v>0</v>
      </c>
      <c r="AE113" s="596">
        <f t="shared" si="284"/>
        <v>0</v>
      </c>
      <c r="AF113" s="596">
        <f t="shared" si="284"/>
        <v>0</v>
      </c>
      <c r="AG113" s="596">
        <f t="shared" si="284"/>
        <v>0</v>
      </c>
      <c r="AH113" s="596">
        <f t="shared" ref="AH113:AJ113" si="285">SUM(AH79:AH82)^2/4</f>
        <v>0</v>
      </c>
      <c r="AI113" s="596">
        <f t="shared" si="285"/>
        <v>0</v>
      </c>
      <c r="AJ113" s="596">
        <f t="shared" si="285"/>
        <v>0</v>
      </c>
      <c r="AK113" s="596" t="e">
        <f t="shared" ref="AK113" si="286">SUM(AK79:AK82)^2/4</f>
        <v>#N/A</v>
      </c>
    </row>
    <row r="114" spans="1:37" hidden="1" x14ac:dyDescent="0.2">
      <c r="B114" s="596" t="str">
        <f>IF(PM!A34&gt;0,PM!A34,"")</f>
        <v/>
      </c>
      <c r="C114" s="598">
        <f t="shared" ref="C114:K114" si="287">SUM(C83:C86)^2/4</f>
        <v>0</v>
      </c>
      <c r="D114" s="599">
        <f t="shared" si="287"/>
        <v>0</v>
      </c>
      <c r="E114" s="599">
        <f t="shared" si="287"/>
        <v>0</v>
      </c>
      <c r="F114" s="599">
        <f t="shared" si="287"/>
        <v>0</v>
      </c>
      <c r="G114" s="599">
        <f t="shared" si="287"/>
        <v>0</v>
      </c>
      <c r="H114" s="599">
        <f t="shared" si="287"/>
        <v>0</v>
      </c>
      <c r="I114" s="599">
        <f t="shared" si="287"/>
        <v>0</v>
      </c>
      <c r="J114" s="599">
        <f t="shared" si="287"/>
        <v>0</v>
      </c>
      <c r="K114" s="600">
        <f t="shared" si="287"/>
        <v>0</v>
      </c>
      <c r="L114" s="596">
        <f t="shared" ref="L114:P114" si="288">SUM(L83:L86)^2/4</f>
        <v>0</v>
      </c>
      <c r="M114" s="596">
        <f t="shared" si="288"/>
        <v>0</v>
      </c>
      <c r="N114" s="596">
        <f t="shared" si="288"/>
        <v>0</v>
      </c>
      <c r="O114" s="596">
        <f t="shared" si="288"/>
        <v>0</v>
      </c>
      <c r="P114" s="596">
        <f t="shared" si="288"/>
        <v>0</v>
      </c>
      <c r="Q114" s="596">
        <f t="shared" ref="Q114:U114" si="289">SUM(Q83:Q86)^2/4</f>
        <v>0</v>
      </c>
      <c r="R114" s="596">
        <f t="shared" si="289"/>
        <v>0</v>
      </c>
      <c r="S114" s="596">
        <f t="shared" si="289"/>
        <v>0</v>
      </c>
      <c r="T114" s="596">
        <f t="shared" si="289"/>
        <v>0</v>
      </c>
      <c r="U114" s="596">
        <f t="shared" si="289"/>
        <v>0</v>
      </c>
      <c r="V114" s="596">
        <f t="shared" ref="V114:Z114" si="290">SUM(V83:V86)^2/4</f>
        <v>0</v>
      </c>
      <c r="W114" s="596">
        <f t="shared" si="290"/>
        <v>0</v>
      </c>
      <c r="X114" s="596">
        <f t="shared" si="290"/>
        <v>0</v>
      </c>
      <c r="Y114" s="596">
        <f t="shared" si="290"/>
        <v>0</v>
      </c>
      <c r="Z114" s="596">
        <f t="shared" si="290"/>
        <v>0</v>
      </c>
      <c r="AA114" s="596">
        <f t="shared" ref="AA114:AG114" si="291">SUM(AA83:AA86)^2/4</f>
        <v>0</v>
      </c>
      <c r="AB114" s="596">
        <f t="shared" si="291"/>
        <v>0</v>
      </c>
      <c r="AC114" s="596">
        <f t="shared" si="291"/>
        <v>0</v>
      </c>
      <c r="AD114" s="596">
        <f t="shared" si="291"/>
        <v>0</v>
      </c>
      <c r="AE114" s="596">
        <f t="shared" si="291"/>
        <v>0</v>
      </c>
      <c r="AF114" s="596">
        <f t="shared" si="291"/>
        <v>0</v>
      </c>
      <c r="AG114" s="596">
        <f t="shared" si="291"/>
        <v>0</v>
      </c>
      <c r="AH114" s="596">
        <f t="shared" ref="AH114:AJ114" si="292">SUM(AH83:AH86)^2/4</f>
        <v>0</v>
      </c>
      <c r="AI114" s="596">
        <f t="shared" si="292"/>
        <v>0</v>
      </c>
      <c r="AJ114" s="596">
        <f t="shared" si="292"/>
        <v>0</v>
      </c>
      <c r="AK114" s="596" t="e">
        <f t="shared" ref="AK114" si="293">SUM(AK83:AK86)^2/4</f>
        <v>#N/A</v>
      </c>
    </row>
    <row r="115" spans="1:37" hidden="1" x14ac:dyDescent="0.2">
      <c r="B115" s="596" t="str">
        <f>IF(PM!A35&gt;0,PM!A35,"")</f>
        <v/>
      </c>
      <c r="C115" s="598">
        <f t="shared" ref="C115:K115" si="294">SUM(C87:C90)^2/4</f>
        <v>0</v>
      </c>
      <c r="D115" s="599">
        <f t="shared" si="294"/>
        <v>0</v>
      </c>
      <c r="E115" s="599">
        <f t="shared" si="294"/>
        <v>0</v>
      </c>
      <c r="F115" s="599">
        <f t="shared" si="294"/>
        <v>0</v>
      </c>
      <c r="G115" s="599">
        <f t="shared" si="294"/>
        <v>0</v>
      </c>
      <c r="H115" s="599">
        <f t="shared" si="294"/>
        <v>0</v>
      </c>
      <c r="I115" s="599">
        <f t="shared" si="294"/>
        <v>0</v>
      </c>
      <c r="J115" s="599">
        <f t="shared" si="294"/>
        <v>0</v>
      </c>
      <c r="K115" s="600">
        <f t="shared" si="294"/>
        <v>0</v>
      </c>
      <c r="L115" s="596">
        <f t="shared" ref="L115:P115" si="295">SUM(L87:L90)^2/4</f>
        <v>0</v>
      </c>
      <c r="M115" s="596">
        <f t="shared" si="295"/>
        <v>0</v>
      </c>
      <c r="N115" s="596">
        <f t="shared" si="295"/>
        <v>0</v>
      </c>
      <c r="O115" s="596">
        <f t="shared" si="295"/>
        <v>0</v>
      </c>
      <c r="P115" s="596">
        <f t="shared" si="295"/>
        <v>0</v>
      </c>
      <c r="Q115" s="596">
        <f t="shared" ref="Q115:U115" si="296">SUM(Q87:Q90)^2/4</f>
        <v>0</v>
      </c>
      <c r="R115" s="596">
        <f t="shared" si="296"/>
        <v>0</v>
      </c>
      <c r="S115" s="596">
        <f t="shared" si="296"/>
        <v>0</v>
      </c>
      <c r="T115" s="596">
        <f t="shared" si="296"/>
        <v>0</v>
      </c>
      <c r="U115" s="596">
        <f t="shared" si="296"/>
        <v>0</v>
      </c>
      <c r="V115" s="596">
        <f t="shared" ref="V115:Z115" si="297">SUM(V87:V90)^2/4</f>
        <v>0</v>
      </c>
      <c r="W115" s="596">
        <f t="shared" si="297"/>
        <v>0</v>
      </c>
      <c r="X115" s="596">
        <f t="shared" si="297"/>
        <v>0</v>
      </c>
      <c r="Y115" s="596">
        <f t="shared" si="297"/>
        <v>0</v>
      </c>
      <c r="Z115" s="596">
        <f t="shared" si="297"/>
        <v>0</v>
      </c>
      <c r="AA115" s="596">
        <f t="shared" ref="AA115:AG115" si="298">SUM(AA87:AA90)^2/4</f>
        <v>0</v>
      </c>
      <c r="AB115" s="596">
        <f t="shared" si="298"/>
        <v>0</v>
      </c>
      <c r="AC115" s="596">
        <f t="shared" si="298"/>
        <v>0</v>
      </c>
      <c r="AD115" s="596">
        <f t="shared" si="298"/>
        <v>0</v>
      </c>
      <c r="AE115" s="596">
        <f t="shared" si="298"/>
        <v>0</v>
      </c>
      <c r="AF115" s="596">
        <f t="shared" si="298"/>
        <v>0</v>
      </c>
      <c r="AG115" s="596">
        <f t="shared" si="298"/>
        <v>0</v>
      </c>
      <c r="AH115" s="596">
        <f t="shared" ref="AH115:AJ115" si="299">SUM(AH87:AH90)^2/4</f>
        <v>0</v>
      </c>
      <c r="AI115" s="596">
        <f t="shared" si="299"/>
        <v>0</v>
      </c>
      <c r="AJ115" s="596">
        <f t="shared" si="299"/>
        <v>0</v>
      </c>
      <c r="AK115" s="596" t="e">
        <f t="shared" ref="AK115" si="300">SUM(AK87:AK90)^2/4</f>
        <v>#N/A</v>
      </c>
    </row>
    <row r="116" spans="1:37" hidden="1" x14ac:dyDescent="0.2">
      <c r="B116" s="596" t="str">
        <f>IF(PM!A36&gt;0,PM!A36,"")</f>
        <v/>
      </c>
      <c r="C116" s="598">
        <f t="shared" ref="C116:K116" si="301">SUM(C91:C94)^2/4</f>
        <v>0</v>
      </c>
      <c r="D116" s="599">
        <f t="shared" si="301"/>
        <v>0</v>
      </c>
      <c r="E116" s="599">
        <f t="shared" si="301"/>
        <v>0</v>
      </c>
      <c r="F116" s="599">
        <f t="shared" si="301"/>
        <v>0</v>
      </c>
      <c r="G116" s="599">
        <f t="shared" si="301"/>
        <v>0</v>
      </c>
      <c r="H116" s="599">
        <f t="shared" si="301"/>
        <v>0</v>
      </c>
      <c r="I116" s="599">
        <f t="shared" si="301"/>
        <v>0</v>
      </c>
      <c r="J116" s="599">
        <f t="shared" si="301"/>
        <v>0</v>
      </c>
      <c r="K116" s="600">
        <f t="shared" si="301"/>
        <v>0</v>
      </c>
      <c r="L116" s="596">
        <f t="shared" ref="L116:P116" si="302">SUM(L91:L94)^2/4</f>
        <v>0</v>
      </c>
      <c r="M116" s="596">
        <f t="shared" si="302"/>
        <v>0</v>
      </c>
      <c r="N116" s="596">
        <f t="shared" si="302"/>
        <v>0</v>
      </c>
      <c r="O116" s="596">
        <f t="shared" si="302"/>
        <v>0</v>
      </c>
      <c r="P116" s="596">
        <f t="shared" si="302"/>
        <v>0</v>
      </c>
      <c r="Q116" s="596">
        <f t="shared" ref="Q116:U116" si="303">SUM(Q91:Q94)^2/4</f>
        <v>0</v>
      </c>
      <c r="R116" s="596">
        <f t="shared" si="303"/>
        <v>0</v>
      </c>
      <c r="S116" s="596">
        <f t="shared" si="303"/>
        <v>0</v>
      </c>
      <c r="T116" s="596">
        <f t="shared" si="303"/>
        <v>0</v>
      </c>
      <c r="U116" s="596">
        <f t="shared" si="303"/>
        <v>0</v>
      </c>
      <c r="V116" s="596">
        <f t="shared" ref="V116:Z116" si="304">SUM(V91:V94)^2/4</f>
        <v>0</v>
      </c>
      <c r="W116" s="596">
        <f t="shared" si="304"/>
        <v>0</v>
      </c>
      <c r="X116" s="596">
        <f t="shared" si="304"/>
        <v>0</v>
      </c>
      <c r="Y116" s="596">
        <f t="shared" si="304"/>
        <v>0</v>
      </c>
      <c r="Z116" s="596">
        <f t="shared" si="304"/>
        <v>0</v>
      </c>
      <c r="AA116" s="596">
        <f t="shared" ref="AA116:AG116" si="305">SUM(AA91:AA94)^2/4</f>
        <v>0</v>
      </c>
      <c r="AB116" s="596">
        <f t="shared" si="305"/>
        <v>0</v>
      </c>
      <c r="AC116" s="596">
        <f t="shared" si="305"/>
        <v>0</v>
      </c>
      <c r="AD116" s="596">
        <f t="shared" si="305"/>
        <v>0</v>
      </c>
      <c r="AE116" s="596">
        <f t="shared" si="305"/>
        <v>0</v>
      </c>
      <c r="AF116" s="596">
        <f t="shared" si="305"/>
        <v>0</v>
      </c>
      <c r="AG116" s="596">
        <f t="shared" si="305"/>
        <v>0</v>
      </c>
      <c r="AH116" s="596">
        <f t="shared" ref="AH116:AJ116" si="306">SUM(AH91:AH94)^2/4</f>
        <v>0</v>
      </c>
      <c r="AI116" s="596">
        <f t="shared" si="306"/>
        <v>0</v>
      </c>
      <c r="AJ116" s="596">
        <f t="shared" si="306"/>
        <v>0</v>
      </c>
      <c r="AK116" s="596" t="e">
        <f t="shared" ref="AK116" si="307">SUM(AK91:AK94)^2/4</f>
        <v>#N/A</v>
      </c>
    </row>
    <row r="117" spans="1:37" hidden="1" x14ac:dyDescent="0.2">
      <c r="B117" s="596" t="str">
        <f>IF(PM!A37&gt;0,PM!A37,"")</f>
        <v/>
      </c>
      <c r="C117" s="598">
        <f>SUM(C95:C98)^2/4</f>
        <v>0</v>
      </c>
      <c r="D117" s="599">
        <f t="shared" ref="D117:AK117" si="308">SUM(D95:D98)^2/4</f>
        <v>0</v>
      </c>
      <c r="E117" s="599">
        <f t="shared" si="308"/>
        <v>0</v>
      </c>
      <c r="F117" s="599">
        <f t="shared" si="308"/>
        <v>0</v>
      </c>
      <c r="G117" s="599">
        <f t="shared" si="308"/>
        <v>0</v>
      </c>
      <c r="H117" s="599">
        <f t="shared" si="308"/>
        <v>0</v>
      </c>
      <c r="I117" s="599">
        <f t="shared" si="308"/>
        <v>0</v>
      </c>
      <c r="J117" s="599">
        <f t="shared" si="308"/>
        <v>0</v>
      </c>
      <c r="K117" s="599">
        <f t="shared" si="308"/>
        <v>0</v>
      </c>
      <c r="L117" s="598">
        <f>SUM(L95:L98)^2/4</f>
        <v>0</v>
      </c>
      <c r="M117" s="599">
        <f t="shared" si="308"/>
        <v>0</v>
      </c>
      <c r="N117" s="599">
        <f t="shared" si="308"/>
        <v>0</v>
      </c>
      <c r="O117" s="599">
        <f t="shared" si="308"/>
        <v>0</v>
      </c>
      <c r="P117" s="599">
        <f t="shared" si="308"/>
        <v>0</v>
      </c>
      <c r="Q117" s="599">
        <f t="shared" si="308"/>
        <v>0</v>
      </c>
      <c r="R117" s="599">
        <f t="shared" si="308"/>
        <v>0</v>
      </c>
      <c r="S117" s="599">
        <f t="shared" si="308"/>
        <v>0</v>
      </c>
      <c r="T117" s="599">
        <f t="shared" si="308"/>
        <v>0</v>
      </c>
      <c r="U117" s="599">
        <f t="shared" si="308"/>
        <v>0</v>
      </c>
      <c r="V117" s="599">
        <f t="shared" si="308"/>
        <v>0</v>
      </c>
      <c r="W117" s="599">
        <f t="shared" si="308"/>
        <v>0</v>
      </c>
      <c r="X117" s="599">
        <f t="shared" si="308"/>
        <v>0</v>
      </c>
      <c r="Y117" s="599">
        <f t="shared" si="308"/>
        <v>0</v>
      </c>
      <c r="Z117" s="599">
        <f t="shared" si="308"/>
        <v>0</v>
      </c>
      <c r="AA117" s="599">
        <f t="shared" si="308"/>
        <v>0</v>
      </c>
      <c r="AB117" s="599">
        <f t="shared" si="308"/>
        <v>0</v>
      </c>
      <c r="AC117" s="599">
        <f t="shared" si="308"/>
        <v>0</v>
      </c>
      <c r="AD117" s="599">
        <f t="shared" si="308"/>
        <v>0</v>
      </c>
      <c r="AE117" s="599">
        <f t="shared" si="308"/>
        <v>0</v>
      </c>
      <c r="AF117" s="599">
        <f t="shared" si="308"/>
        <v>0</v>
      </c>
      <c r="AG117" s="599">
        <f t="shared" si="308"/>
        <v>0</v>
      </c>
      <c r="AH117" s="599">
        <f t="shared" si="308"/>
        <v>0</v>
      </c>
      <c r="AI117" s="599">
        <f t="shared" si="308"/>
        <v>0</v>
      </c>
      <c r="AJ117" s="599">
        <f t="shared" si="308"/>
        <v>0</v>
      </c>
      <c r="AK117" s="599" t="e">
        <f t="shared" si="308"/>
        <v>#N/A</v>
      </c>
    </row>
    <row r="118" spans="1:37" hidden="1" x14ac:dyDescent="0.2">
      <c r="A118" s="596">
        <v>1</v>
      </c>
      <c r="C118" s="608" t="e">
        <f>SUM(C31,C35,C39,C43,C47,C51,C55,C59,C63,C67,C71,C75,C79,C83,C87,C91,C95)^2/C$100</f>
        <v>#DIV/0!</v>
      </c>
      <c r="D118" s="609" t="e">
        <f t="shared" ref="D118:AJ121" si="309">SUM(D31,D35,D39,D43,D47,D51,D55,D59,D63,D67,D71,D75,D79,D83,D87,D91,D95)^2/D$100</f>
        <v>#DIV/0!</v>
      </c>
      <c r="E118" s="609" t="e">
        <f t="shared" si="309"/>
        <v>#DIV/0!</v>
      </c>
      <c r="F118" s="609" t="e">
        <f t="shared" si="309"/>
        <v>#DIV/0!</v>
      </c>
      <c r="G118" s="609" t="e">
        <f t="shared" si="309"/>
        <v>#DIV/0!</v>
      </c>
      <c r="H118" s="609" t="e">
        <f t="shared" si="309"/>
        <v>#DIV/0!</v>
      </c>
      <c r="I118" s="609" t="e">
        <f t="shared" si="309"/>
        <v>#DIV/0!</v>
      </c>
      <c r="J118" s="609" t="e">
        <f t="shared" si="309"/>
        <v>#DIV/0!</v>
      </c>
      <c r="K118" s="609" t="e">
        <f t="shared" si="309"/>
        <v>#DIV/0!</v>
      </c>
      <c r="L118" s="609" t="e">
        <f t="shared" si="309"/>
        <v>#DIV/0!</v>
      </c>
      <c r="M118" s="609" t="e">
        <f t="shared" si="309"/>
        <v>#DIV/0!</v>
      </c>
      <c r="N118" s="609" t="e">
        <f t="shared" si="309"/>
        <v>#DIV/0!</v>
      </c>
      <c r="O118" s="609" t="e">
        <f t="shared" si="309"/>
        <v>#DIV/0!</v>
      </c>
      <c r="P118" s="609" t="e">
        <f t="shared" si="309"/>
        <v>#DIV/0!</v>
      </c>
      <c r="Q118" s="609" t="e">
        <f t="shared" si="309"/>
        <v>#DIV/0!</v>
      </c>
      <c r="R118" s="609" t="e">
        <f t="shared" si="309"/>
        <v>#DIV/0!</v>
      </c>
      <c r="S118" s="609" t="e">
        <f t="shared" si="309"/>
        <v>#DIV/0!</v>
      </c>
      <c r="T118" s="609" t="e">
        <f t="shared" si="309"/>
        <v>#DIV/0!</v>
      </c>
      <c r="U118" s="609" t="e">
        <f t="shared" si="309"/>
        <v>#DIV/0!</v>
      </c>
      <c r="V118" s="609" t="e">
        <f t="shared" si="309"/>
        <v>#DIV/0!</v>
      </c>
      <c r="W118" s="609" t="e">
        <f t="shared" si="309"/>
        <v>#DIV/0!</v>
      </c>
      <c r="X118" s="609" t="e">
        <f t="shared" si="309"/>
        <v>#DIV/0!</v>
      </c>
      <c r="Y118" s="609" t="e">
        <f t="shared" si="309"/>
        <v>#DIV/0!</v>
      </c>
      <c r="Z118" s="609" t="e">
        <f t="shared" si="309"/>
        <v>#DIV/0!</v>
      </c>
      <c r="AA118" s="609" t="e">
        <f t="shared" si="309"/>
        <v>#DIV/0!</v>
      </c>
      <c r="AB118" s="609" t="e">
        <f t="shared" si="309"/>
        <v>#DIV/0!</v>
      </c>
      <c r="AC118" s="609" t="e">
        <f t="shared" si="309"/>
        <v>#DIV/0!</v>
      </c>
      <c r="AD118" s="609" t="e">
        <f t="shared" si="309"/>
        <v>#DIV/0!</v>
      </c>
      <c r="AE118" s="609" t="e">
        <f t="shared" si="309"/>
        <v>#DIV/0!</v>
      </c>
      <c r="AF118" s="609" t="e">
        <f t="shared" si="309"/>
        <v>#DIV/0!</v>
      </c>
      <c r="AG118" s="609" t="e">
        <f t="shared" si="309"/>
        <v>#DIV/0!</v>
      </c>
      <c r="AH118" s="609" t="e">
        <f t="shared" si="309"/>
        <v>#DIV/0!</v>
      </c>
      <c r="AI118" s="609" t="e">
        <f t="shared" si="309"/>
        <v>#DIV/0!</v>
      </c>
      <c r="AJ118" s="609" t="e">
        <f t="shared" si="309"/>
        <v>#DIV/0!</v>
      </c>
      <c r="AK118" s="609" t="e">
        <f t="shared" ref="AK118" si="310">SUM(AK31,AK35,AK39,AK43,AK47,AK51,AK55,AK59,AK63,AK67,AK71,AK75,AK79,AK83,AK87,AK91,AK95)^2/AK$100</f>
        <v>#N/A</v>
      </c>
    </row>
    <row r="119" spans="1:37" hidden="1" x14ac:dyDescent="0.2">
      <c r="A119" s="596">
        <v>2</v>
      </c>
      <c r="C119" s="598" t="e">
        <f t="shared" ref="C119:R121" si="311">SUM(C32,C36,C40,C44,C48,C52,C56,C60,C64,C68,C72,C76,C80,C84,C88,C92,C96)^2/C$100</f>
        <v>#DIV/0!</v>
      </c>
      <c r="D119" s="599" t="e">
        <f t="shared" si="311"/>
        <v>#DIV/0!</v>
      </c>
      <c r="E119" s="599" t="e">
        <f t="shared" si="311"/>
        <v>#DIV/0!</v>
      </c>
      <c r="F119" s="599" t="e">
        <f t="shared" si="311"/>
        <v>#DIV/0!</v>
      </c>
      <c r="G119" s="599" t="e">
        <f t="shared" si="311"/>
        <v>#DIV/0!</v>
      </c>
      <c r="H119" s="599" t="e">
        <f t="shared" si="311"/>
        <v>#DIV/0!</v>
      </c>
      <c r="I119" s="599" t="e">
        <f t="shared" si="311"/>
        <v>#DIV/0!</v>
      </c>
      <c r="J119" s="599" t="e">
        <f t="shared" si="311"/>
        <v>#DIV/0!</v>
      </c>
      <c r="K119" s="599" t="e">
        <f t="shared" si="311"/>
        <v>#DIV/0!</v>
      </c>
      <c r="L119" s="599" t="e">
        <f t="shared" si="311"/>
        <v>#DIV/0!</v>
      </c>
      <c r="M119" s="599" t="e">
        <f t="shared" si="311"/>
        <v>#DIV/0!</v>
      </c>
      <c r="N119" s="599" t="e">
        <f t="shared" si="311"/>
        <v>#DIV/0!</v>
      </c>
      <c r="O119" s="599" t="e">
        <f t="shared" si="311"/>
        <v>#DIV/0!</v>
      </c>
      <c r="P119" s="599" t="e">
        <f t="shared" si="311"/>
        <v>#DIV/0!</v>
      </c>
      <c r="Q119" s="599" t="e">
        <f t="shared" si="311"/>
        <v>#DIV/0!</v>
      </c>
      <c r="R119" s="599" t="e">
        <f t="shared" si="311"/>
        <v>#DIV/0!</v>
      </c>
      <c r="S119" s="599" t="e">
        <f t="shared" si="309"/>
        <v>#DIV/0!</v>
      </c>
      <c r="T119" s="599" t="e">
        <f t="shared" si="309"/>
        <v>#DIV/0!</v>
      </c>
      <c r="U119" s="599" t="e">
        <f t="shared" si="309"/>
        <v>#DIV/0!</v>
      </c>
      <c r="V119" s="599" t="e">
        <f t="shared" si="309"/>
        <v>#DIV/0!</v>
      </c>
      <c r="W119" s="599" t="e">
        <f t="shared" si="309"/>
        <v>#DIV/0!</v>
      </c>
      <c r="X119" s="599" t="e">
        <f t="shared" si="309"/>
        <v>#DIV/0!</v>
      </c>
      <c r="Y119" s="599" t="e">
        <f t="shared" si="309"/>
        <v>#DIV/0!</v>
      </c>
      <c r="Z119" s="599" t="e">
        <f t="shared" si="309"/>
        <v>#DIV/0!</v>
      </c>
      <c r="AA119" s="599" t="e">
        <f t="shared" si="309"/>
        <v>#DIV/0!</v>
      </c>
      <c r="AB119" s="599" t="e">
        <f t="shared" si="309"/>
        <v>#DIV/0!</v>
      </c>
      <c r="AC119" s="599" t="e">
        <f t="shared" si="309"/>
        <v>#DIV/0!</v>
      </c>
      <c r="AD119" s="599" t="e">
        <f t="shared" si="309"/>
        <v>#DIV/0!</v>
      </c>
      <c r="AE119" s="599" t="e">
        <f t="shared" si="309"/>
        <v>#DIV/0!</v>
      </c>
      <c r="AF119" s="599" t="e">
        <f t="shared" si="309"/>
        <v>#DIV/0!</v>
      </c>
      <c r="AG119" s="599" t="e">
        <f t="shared" si="309"/>
        <v>#DIV/0!</v>
      </c>
      <c r="AH119" s="599" t="e">
        <f t="shared" si="309"/>
        <v>#DIV/0!</v>
      </c>
      <c r="AI119" s="599" t="e">
        <f t="shared" si="309"/>
        <v>#DIV/0!</v>
      </c>
      <c r="AJ119" s="599" t="e">
        <f t="shared" si="309"/>
        <v>#DIV/0!</v>
      </c>
      <c r="AK119" s="599" t="e">
        <f t="shared" ref="AK119" si="312">SUM(AK32,AK36,AK40,AK44,AK48,AK52,AK56,AK60,AK64,AK68,AK72,AK76,AK80,AK84,AK88,AK92,AK96)^2/AK$100</f>
        <v>#N/A</v>
      </c>
    </row>
    <row r="120" spans="1:37" hidden="1" x14ac:dyDescent="0.2">
      <c r="A120" s="596">
        <v>3</v>
      </c>
      <c r="C120" s="598" t="e">
        <f t="shared" si="311"/>
        <v>#DIV/0!</v>
      </c>
      <c r="D120" s="599" t="e">
        <f t="shared" si="309"/>
        <v>#DIV/0!</v>
      </c>
      <c r="E120" s="599" t="e">
        <f t="shared" si="309"/>
        <v>#DIV/0!</v>
      </c>
      <c r="F120" s="599" t="e">
        <f t="shared" si="309"/>
        <v>#DIV/0!</v>
      </c>
      <c r="G120" s="599" t="e">
        <f t="shared" si="309"/>
        <v>#DIV/0!</v>
      </c>
      <c r="H120" s="599" t="e">
        <f t="shared" si="309"/>
        <v>#DIV/0!</v>
      </c>
      <c r="I120" s="599" t="e">
        <f t="shared" si="309"/>
        <v>#DIV/0!</v>
      </c>
      <c r="J120" s="599" t="e">
        <f t="shared" si="309"/>
        <v>#DIV/0!</v>
      </c>
      <c r="K120" s="599" t="e">
        <f t="shared" si="309"/>
        <v>#DIV/0!</v>
      </c>
      <c r="L120" s="599" t="e">
        <f t="shared" si="309"/>
        <v>#DIV/0!</v>
      </c>
      <c r="M120" s="599" t="e">
        <f t="shared" si="309"/>
        <v>#DIV/0!</v>
      </c>
      <c r="N120" s="599" t="e">
        <f t="shared" si="309"/>
        <v>#DIV/0!</v>
      </c>
      <c r="O120" s="599" t="e">
        <f t="shared" si="309"/>
        <v>#DIV/0!</v>
      </c>
      <c r="P120" s="599" t="e">
        <f t="shared" si="309"/>
        <v>#DIV/0!</v>
      </c>
      <c r="Q120" s="599" t="e">
        <f t="shared" si="309"/>
        <v>#DIV/0!</v>
      </c>
      <c r="R120" s="599" t="e">
        <f t="shared" si="309"/>
        <v>#DIV/0!</v>
      </c>
      <c r="S120" s="599" t="e">
        <f t="shared" si="309"/>
        <v>#DIV/0!</v>
      </c>
      <c r="T120" s="599" t="e">
        <f t="shared" si="309"/>
        <v>#DIV/0!</v>
      </c>
      <c r="U120" s="599" t="e">
        <f t="shared" si="309"/>
        <v>#DIV/0!</v>
      </c>
      <c r="V120" s="599" t="e">
        <f t="shared" si="309"/>
        <v>#DIV/0!</v>
      </c>
      <c r="W120" s="599" t="e">
        <f t="shared" si="309"/>
        <v>#DIV/0!</v>
      </c>
      <c r="X120" s="599" t="e">
        <f t="shared" si="309"/>
        <v>#DIV/0!</v>
      </c>
      <c r="Y120" s="599" t="e">
        <f t="shared" si="309"/>
        <v>#DIV/0!</v>
      </c>
      <c r="Z120" s="599" t="e">
        <f t="shared" si="309"/>
        <v>#DIV/0!</v>
      </c>
      <c r="AA120" s="599" t="e">
        <f t="shared" si="309"/>
        <v>#DIV/0!</v>
      </c>
      <c r="AB120" s="599" t="e">
        <f t="shared" si="309"/>
        <v>#DIV/0!</v>
      </c>
      <c r="AC120" s="599" t="e">
        <f t="shared" si="309"/>
        <v>#DIV/0!</v>
      </c>
      <c r="AD120" s="599" t="e">
        <f t="shared" si="309"/>
        <v>#DIV/0!</v>
      </c>
      <c r="AE120" s="599" t="e">
        <f t="shared" si="309"/>
        <v>#DIV/0!</v>
      </c>
      <c r="AF120" s="599" t="e">
        <f t="shared" si="309"/>
        <v>#DIV/0!</v>
      </c>
      <c r="AG120" s="599" t="e">
        <f t="shared" si="309"/>
        <v>#DIV/0!</v>
      </c>
      <c r="AH120" s="599" t="e">
        <f t="shared" si="309"/>
        <v>#DIV/0!</v>
      </c>
      <c r="AI120" s="599" t="e">
        <f t="shared" si="309"/>
        <v>#DIV/0!</v>
      </c>
      <c r="AJ120" s="599" t="e">
        <f t="shared" si="309"/>
        <v>#DIV/0!</v>
      </c>
      <c r="AK120" s="599" t="e">
        <f t="shared" ref="AK120" si="313">SUM(AK33,AK37,AK41,AK45,AK49,AK53,AK57,AK61,AK65,AK69,AK73,AK77,AK81,AK85,AK89,AK93,AK97)^2/AK$100</f>
        <v>#N/A</v>
      </c>
    </row>
    <row r="121" spans="1:37" hidden="1" x14ac:dyDescent="0.2">
      <c r="A121" s="596">
        <v>4</v>
      </c>
      <c r="C121" s="598" t="e">
        <f t="shared" si="311"/>
        <v>#DIV/0!</v>
      </c>
      <c r="D121" s="599" t="e">
        <f t="shared" si="309"/>
        <v>#DIV/0!</v>
      </c>
      <c r="E121" s="599" t="e">
        <f t="shared" si="309"/>
        <v>#DIV/0!</v>
      </c>
      <c r="F121" s="599" t="e">
        <f t="shared" si="309"/>
        <v>#DIV/0!</v>
      </c>
      <c r="G121" s="599" t="e">
        <f t="shared" si="309"/>
        <v>#DIV/0!</v>
      </c>
      <c r="H121" s="599" t="e">
        <f t="shared" si="309"/>
        <v>#DIV/0!</v>
      </c>
      <c r="I121" s="599" t="e">
        <f t="shared" si="309"/>
        <v>#DIV/0!</v>
      </c>
      <c r="J121" s="599" t="e">
        <f t="shared" si="309"/>
        <v>#DIV/0!</v>
      </c>
      <c r="K121" s="599" t="e">
        <f t="shared" si="309"/>
        <v>#DIV/0!</v>
      </c>
      <c r="L121" s="599" t="e">
        <f t="shared" si="309"/>
        <v>#DIV/0!</v>
      </c>
      <c r="M121" s="599" t="e">
        <f t="shared" si="309"/>
        <v>#DIV/0!</v>
      </c>
      <c r="N121" s="599" t="e">
        <f t="shared" si="309"/>
        <v>#DIV/0!</v>
      </c>
      <c r="O121" s="599" t="e">
        <f t="shared" si="309"/>
        <v>#DIV/0!</v>
      </c>
      <c r="P121" s="599" t="e">
        <f t="shared" si="309"/>
        <v>#DIV/0!</v>
      </c>
      <c r="Q121" s="599" t="e">
        <f t="shared" si="309"/>
        <v>#DIV/0!</v>
      </c>
      <c r="R121" s="599" t="e">
        <f t="shared" si="309"/>
        <v>#DIV/0!</v>
      </c>
      <c r="S121" s="599" t="e">
        <f t="shared" si="309"/>
        <v>#DIV/0!</v>
      </c>
      <c r="T121" s="599" t="e">
        <f t="shared" si="309"/>
        <v>#DIV/0!</v>
      </c>
      <c r="U121" s="599" t="e">
        <f t="shared" si="309"/>
        <v>#DIV/0!</v>
      </c>
      <c r="V121" s="599" t="e">
        <f t="shared" si="309"/>
        <v>#DIV/0!</v>
      </c>
      <c r="W121" s="599" t="e">
        <f t="shared" si="309"/>
        <v>#DIV/0!</v>
      </c>
      <c r="X121" s="599" t="e">
        <f t="shared" si="309"/>
        <v>#DIV/0!</v>
      </c>
      <c r="Y121" s="599" t="e">
        <f t="shared" si="309"/>
        <v>#DIV/0!</v>
      </c>
      <c r="Z121" s="599" t="e">
        <f t="shared" si="309"/>
        <v>#DIV/0!</v>
      </c>
      <c r="AA121" s="599" t="e">
        <f t="shared" si="309"/>
        <v>#DIV/0!</v>
      </c>
      <c r="AB121" s="599" t="e">
        <f t="shared" si="309"/>
        <v>#DIV/0!</v>
      </c>
      <c r="AC121" s="599" t="e">
        <f t="shared" si="309"/>
        <v>#DIV/0!</v>
      </c>
      <c r="AD121" s="599" t="e">
        <f t="shared" si="309"/>
        <v>#DIV/0!</v>
      </c>
      <c r="AE121" s="599" t="e">
        <f t="shared" si="309"/>
        <v>#DIV/0!</v>
      </c>
      <c r="AF121" s="599" t="e">
        <f t="shared" si="309"/>
        <v>#DIV/0!</v>
      </c>
      <c r="AG121" s="599" t="e">
        <f t="shared" si="309"/>
        <v>#DIV/0!</v>
      </c>
      <c r="AH121" s="599" t="e">
        <f t="shared" si="309"/>
        <v>#DIV/0!</v>
      </c>
      <c r="AI121" s="599" t="e">
        <f t="shared" si="309"/>
        <v>#DIV/0!</v>
      </c>
      <c r="AJ121" s="599" t="e">
        <f t="shared" si="309"/>
        <v>#DIV/0!</v>
      </c>
      <c r="AK121" s="599" t="e">
        <f t="shared" ref="AK121" si="314">SUM(AK34,AK38,AK42,AK46,AK50,AK54,AK58,AK62,AK66,AK70,AK74,AK78,AK82,AK86,AK90,AK94,AK98)^2/AK$100</f>
        <v>#N/A</v>
      </c>
    </row>
    <row r="122" spans="1:37" hidden="1" x14ac:dyDescent="0.2">
      <c r="A122" s="597" t="s">
        <v>804</v>
      </c>
      <c r="C122" s="610" t="e">
        <f>SUM(C31:C98)^2/C99</f>
        <v>#DIV/0!</v>
      </c>
      <c r="D122" s="611" t="e">
        <f t="shared" ref="D122:AJ122" si="315">SUM(D31:D98)^2/D99</f>
        <v>#DIV/0!</v>
      </c>
      <c r="E122" s="611" t="e">
        <f t="shared" si="315"/>
        <v>#DIV/0!</v>
      </c>
      <c r="F122" s="611" t="e">
        <f t="shared" si="315"/>
        <v>#DIV/0!</v>
      </c>
      <c r="G122" s="611" t="e">
        <f t="shared" si="315"/>
        <v>#DIV/0!</v>
      </c>
      <c r="H122" s="611" t="e">
        <f t="shared" si="315"/>
        <v>#DIV/0!</v>
      </c>
      <c r="I122" s="611" t="e">
        <f t="shared" si="315"/>
        <v>#DIV/0!</v>
      </c>
      <c r="J122" s="611" t="e">
        <f t="shared" si="315"/>
        <v>#DIV/0!</v>
      </c>
      <c r="K122" s="611" t="e">
        <f t="shared" si="315"/>
        <v>#DIV/0!</v>
      </c>
      <c r="L122" s="611" t="e">
        <f t="shared" si="315"/>
        <v>#DIV/0!</v>
      </c>
      <c r="M122" s="611" t="e">
        <f t="shared" si="315"/>
        <v>#DIV/0!</v>
      </c>
      <c r="N122" s="611" t="e">
        <f t="shared" si="315"/>
        <v>#DIV/0!</v>
      </c>
      <c r="O122" s="611" t="e">
        <f t="shared" si="315"/>
        <v>#DIV/0!</v>
      </c>
      <c r="P122" s="611" t="e">
        <f t="shared" si="315"/>
        <v>#DIV/0!</v>
      </c>
      <c r="Q122" s="611" t="e">
        <f t="shared" si="315"/>
        <v>#DIV/0!</v>
      </c>
      <c r="R122" s="611" t="e">
        <f t="shared" si="315"/>
        <v>#DIV/0!</v>
      </c>
      <c r="S122" s="611" t="e">
        <f t="shared" si="315"/>
        <v>#DIV/0!</v>
      </c>
      <c r="T122" s="611" t="e">
        <f t="shared" si="315"/>
        <v>#DIV/0!</v>
      </c>
      <c r="U122" s="611" t="e">
        <f t="shared" si="315"/>
        <v>#DIV/0!</v>
      </c>
      <c r="V122" s="611" t="e">
        <f t="shared" si="315"/>
        <v>#DIV/0!</v>
      </c>
      <c r="W122" s="611" t="e">
        <f t="shared" si="315"/>
        <v>#DIV/0!</v>
      </c>
      <c r="X122" s="611" t="e">
        <f t="shared" si="315"/>
        <v>#DIV/0!</v>
      </c>
      <c r="Y122" s="611" t="e">
        <f t="shared" si="315"/>
        <v>#DIV/0!</v>
      </c>
      <c r="Z122" s="611" t="e">
        <f t="shared" si="315"/>
        <v>#DIV/0!</v>
      </c>
      <c r="AA122" s="611" t="e">
        <f t="shared" si="315"/>
        <v>#DIV/0!</v>
      </c>
      <c r="AB122" s="611" t="e">
        <f t="shared" si="315"/>
        <v>#DIV/0!</v>
      </c>
      <c r="AC122" s="611" t="e">
        <f t="shared" si="315"/>
        <v>#DIV/0!</v>
      </c>
      <c r="AD122" s="611" t="e">
        <f t="shared" si="315"/>
        <v>#DIV/0!</v>
      </c>
      <c r="AE122" s="611" t="e">
        <f t="shared" si="315"/>
        <v>#DIV/0!</v>
      </c>
      <c r="AF122" s="611" t="e">
        <f t="shared" si="315"/>
        <v>#DIV/0!</v>
      </c>
      <c r="AG122" s="611" t="e">
        <f t="shared" si="315"/>
        <v>#DIV/0!</v>
      </c>
      <c r="AH122" s="611" t="e">
        <f t="shared" si="315"/>
        <v>#DIV/0!</v>
      </c>
      <c r="AI122" s="611" t="e">
        <f t="shared" si="315"/>
        <v>#DIV/0!</v>
      </c>
      <c r="AJ122" s="611" t="e">
        <f t="shared" si="315"/>
        <v>#DIV/0!</v>
      </c>
      <c r="AK122" s="611" t="e">
        <f t="shared" ref="AK122" si="316">SUM(AK31:AK98)^2/AK99</f>
        <v>#N/A</v>
      </c>
    </row>
    <row r="123" spans="1:37" hidden="1" x14ac:dyDescent="0.2">
      <c r="A123" s="597" t="s">
        <v>805</v>
      </c>
      <c r="C123" s="612" t="e">
        <f>SUM(C101:C117)-C122</f>
        <v>#DIV/0!</v>
      </c>
      <c r="D123" s="612" t="e">
        <f t="shared" ref="D123:AK123" si="317">SUM(D101:D117)-D122</f>
        <v>#DIV/0!</v>
      </c>
      <c r="E123" s="612" t="e">
        <f t="shared" si="317"/>
        <v>#DIV/0!</v>
      </c>
      <c r="F123" s="612" t="e">
        <f t="shared" si="317"/>
        <v>#DIV/0!</v>
      </c>
      <c r="G123" s="612" t="e">
        <f t="shared" si="317"/>
        <v>#DIV/0!</v>
      </c>
      <c r="H123" s="612" t="e">
        <f t="shared" si="317"/>
        <v>#DIV/0!</v>
      </c>
      <c r="I123" s="612" t="e">
        <f t="shared" si="317"/>
        <v>#DIV/0!</v>
      </c>
      <c r="J123" s="612" t="e">
        <f t="shared" si="317"/>
        <v>#DIV/0!</v>
      </c>
      <c r="K123" s="612" t="e">
        <f t="shared" si="317"/>
        <v>#DIV/0!</v>
      </c>
      <c r="L123" s="612" t="e">
        <f t="shared" si="317"/>
        <v>#DIV/0!</v>
      </c>
      <c r="M123" s="612" t="e">
        <f t="shared" si="317"/>
        <v>#DIV/0!</v>
      </c>
      <c r="N123" s="612" t="e">
        <f t="shared" si="317"/>
        <v>#DIV/0!</v>
      </c>
      <c r="O123" s="612" t="e">
        <f t="shared" si="317"/>
        <v>#DIV/0!</v>
      </c>
      <c r="P123" s="612" t="e">
        <f t="shared" si="317"/>
        <v>#DIV/0!</v>
      </c>
      <c r="Q123" s="612" t="e">
        <f t="shared" si="317"/>
        <v>#DIV/0!</v>
      </c>
      <c r="R123" s="612" t="e">
        <f t="shared" si="317"/>
        <v>#DIV/0!</v>
      </c>
      <c r="S123" s="612" t="e">
        <f t="shared" si="317"/>
        <v>#DIV/0!</v>
      </c>
      <c r="T123" s="612" t="e">
        <f t="shared" si="317"/>
        <v>#DIV/0!</v>
      </c>
      <c r="U123" s="612" t="e">
        <f t="shared" si="317"/>
        <v>#DIV/0!</v>
      </c>
      <c r="V123" s="612" t="e">
        <f t="shared" si="317"/>
        <v>#DIV/0!</v>
      </c>
      <c r="W123" s="612" t="e">
        <f t="shared" si="317"/>
        <v>#DIV/0!</v>
      </c>
      <c r="X123" s="612" t="e">
        <f t="shared" si="317"/>
        <v>#DIV/0!</v>
      </c>
      <c r="Y123" s="612" t="e">
        <f t="shared" si="317"/>
        <v>#DIV/0!</v>
      </c>
      <c r="Z123" s="612" t="e">
        <f t="shared" si="317"/>
        <v>#DIV/0!</v>
      </c>
      <c r="AA123" s="612" t="e">
        <f t="shared" si="317"/>
        <v>#DIV/0!</v>
      </c>
      <c r="AB123" s="612" t="e">
        <f t="shared" si="317"/>
        <v>#DIV/0!</v>
      </c>
      <c r="AC123" s="612" t="e">
        <f t="shared" si="317"/>
        <v>#DIV/0!</v>
      </c>
      <c r="AD123" s="612" t="e">
        <f t="shared" si="317"/>
        <v>#DIV/0!</v>
      </c>
      <c r="AE123" s="612" t="e">
        <f t="shared" si="317"/>
        <v>#DIV/0!</v>
      </c>
      <c r="AF123" s="612" t="e">
        <f t="shared" si="317"/>
        <v>#DIV/0!</v>
      </c>
      <c r="AG123" s="612" t="e">
        <f t="shared" si="317"/>
        <v>#DIV/0!</v>
      </c>
      <c r="AH123" s="612" t="e">
        <f t="shared" si="317"/>
        <v>#DIV/0!</v>
      </c>
      <c r="AI123" s="612" t="e">
        <f t="shared" si="317"/>
        <v>#DIV/0!</v>
      </c>
      <c r="AJ123" s="612" t="e">
        <f t="shared" si="317"/>
        <v>#DIV/0!</v>
      </c>
      <c r="AK123" s="612" t="e">
        <f t="shared" si="317"/>
        <v>#N/A</v>
      </c>
    </row>
    <row r="124" spans="1:37" hidden="1" x14ac:dyDescent="0.2">
      <c r="A124" s="597" t="s">
        <v>805</v>
      </c>
      <c r="C124" s="613" t="e">
        <f t="shared" ref="C124" si="318">SUM(C118:C121)-C122</f>
        <v>#DIV/0!</v>
      </c>
      <c r="D124" s="613" t="e">
        <f t="shared" ref="D124:AJ124" si="319">SUM(D118:D121)-D122</f>
        <v>#DIV/0!</v>
      </c>
      <c r="E124" s="613" t="e">
        <f t="shared" si="319"/>
        <v>#DIV/0!</v>
      </c>
      <c r="F124" s="613" t="e">
        <f t="shared" si="319"/>
        <v>#DIV/0!</v>
      </c>
      <c r="G124" s="613" t="e">
        <f t="shared" si="319"/>
        <v>#DIV/0!</v>
      </c>
      <c r="H124" s="613" t="e">
        <f t="shared" si="319"/>
        <v>#DIV/0!</v>
      </c>
      <c r="I124" s="613" t="e">
        <f t="shared" si="319"/>
        <v>#DIV/0!</v>
      </c>
      <c r="J124" s="613" t="e">
        <f t="shared" si="319"/>
        <v>#DIV/0!</v>
      </c>
      <c r="K124" s="613" t="e">
        <f t="shared" si="319"/>
        <v>#DIV/0!</v>
      </c>
      <c r="L124" s="613" t="e">
        <f t="shared" si="319"/>
        <v>#DIV/0!</v>
      </c>
      <c r="M124" s="613" t="e">
        <f t="shared" si="319"/>
        <v>#DIV/0!</v>
      </c>
      <c r="N124" s="613" t="e">
        <f t="shared" si="319"/>
        <v>#DIV/0!</v>
      </c>
      <c r="O124" s="613" t="e">
        <f t="shared" si="319"/>
        <v>#DIV/0!</v>
      </c>
      <c r="P124" s="613" t="e">
        <f t="shared" si="319"/>
        <v>#DIV/0!</v>
      </c>
      <c r="Q124" s="613" t="e">
        <f t="shared" si="319"/>
        <v>#DIV/0!</v>
      </c>
      <c r="R124" s="613" t="e">
        <f t="shared" si="319"/>
        <v>#DIV/0!</v>
      </c>
      <c r="S124" s="613" t="e">
        <f t="shared" si="319"/>
        <v>#DIV/0!</v>
      </c>
      <c r="T124" s="613" t="e">
        <f t="shared" si="319"/>
        <v>#DIV/0!</v>
      </c>
      <c r="U124" s="613" t="e">
        <f t="shared" si="319"/>
        <v>#DIV/0!</v>
      </c>
      <c r="V124" s="613" t="e">
        <f t="shared" si="319"/>
        <v>#DIV/0!</v>
      </c>
      <c r="W124" s="613" t="e">
        <f t="shared" si="319"/>
        <v>#DIV/0!</v>
      </c>
      <c r="X124" s="613" t="e">
        <f t="shared" si="319"/>
        <v>#DIV/0!</v>
      </c>
      <c r="Y124" s="613" t="e">
        <f t="shared" si="319"/>
        <v>#DIV/0!</v>
      </c>
      <c r="Z124" s="613" t="e">
        <f t="shared" si="319"/>
        <v>#DIV/0!</v>
      </c>
      <c r="AA124" s="613" t="e">
        <f t="shared" si="319"/>
        <v>#DIV/0!</v>
      </c>
      <c r="AB124" s="613" t="e">
        <f t="shared" si="319"/>
        <v>#DIV/0!</v>
      </c>
      <c r="AC124" s="613" t="e">
        <f t="shared" si="319"/>
        <v>#DIV/0!</v>
      </c>
      <c r="AD124" s="613" t="e">
        <f t="shared" si="319"/>
        <v>#DIV/0!</v>
      </c>
      <c r="AE124" s="613" t="e">
        <f t="shared" si="319"/>
        <v>#DIV/0!</v>
      </c>
      <c r="AF124" s="613" t="e">
        <f t="shared" si="319"/>
        <v>#DIV/0!</v>
      </c>
      <c r="AG124" s="613" t="e">
        <f t="shared" si="319"/>
        <v>#DIV/0!</v>
      </c>
      <c r="AH124" s="613" t="e">
        <f t="shared" si="319"/>
        <v>#DIV/0!</v>
      </c>
      <c r="AI124" s="613" t="e">
        <f t="shared" si="319"/>
        <v>#DIV/0!</v>
      </c>
      <c r="AJ124" s="613" t="e">
        <f t="shared" si="319"/>
        <v>#DIV/0!</v>
      </c>
      <c r="AK124" s="613" t="e">
        <f t="shared" ref="AK124" si="320">SUM(AK118:AK121)-AK122</f>
        <v>#N/A</v>
      </c>
    </row>
    <row r="125" spans="1:37" hidden="1" x14ac:dyDescent="0.2">
      <c r="A125" s="597" t="s">
        <v>805</v>
      </c>
      <c r="C125" s="613" t="e">
        <f t="shared" ref="C125" si="321">C126-C124-C123</f>
        <v>#DIV/0!</v>
      </c>
      <c r="D125" s="613" t="e">
        <f t="shared" ref="D125:AJ125" si="322">D126-D124-D123</f>
        <v>#DIV/0!</v>
      </c>
      <c r="E125" s="613" t="e">
        <f t="shared" si="322"/>
        <v>#DIV/0!</v>
      </c>
      <c r="F125" s="613" t="e">
        <f t="shared" si="322"/>
        <v>#DIV/0!</v>
      </c>
      <c r="G125" s="613" t="e">
        <f t="shared" si="322"/>
        <v>#DIV/0!</v>
      </c>
      <c r="H125" s="613" t="e">
        <f t="shared" si="322"/>
        <v>#DIV/0!</v>
      </c>
      <c r="I125" s="613" t="e">
        <f t="shared" si="322"/>
        <v>#DIV/0!</v>
      </c>
      <c r="J125" s="613" t="e">
        <f t="shared" si="322"/>
        <v>#DIV/0!</v>
      </c>
      <c r="K125" s="613" t="e">
        <f t="shared" si="322"/>
        <v>#DIV/0!</v>
      </c>
      <c r="L125" s="613" t="e">
        <f t="shared" si="322"/>
        <v>#DIV/0!</v>
      </c>
      <c r="M125" s="613" t="e">
        <f t="shared" si="322"/>
        <v>#DIV/0!</v>
      </c>
      <c r="N125" s="613" t="e">
        <f t="shared" si="322"/>
        <v>#DIV/0!</v>
      </c>
      <c r="O125" s="613" t="e">
        <f t="shared" si="322"/>
        <v>#DIV/0!</v>
      </c>
      <c r="P125" s="613" t="e">
        <f t="shared" si="322"/>
        <v>#DIV/0!</v>
      </c>
      <c r="Q125" s="613" t="e">
        <f t="shared" si="322"/>
        <v>#DIV/0!</v>
      </c>
      <c r="R125" s="613" t="e">
        <f t="shared" si="322"/>
        <v>#DIV/0!</v>
      </c>
      <c r="S125" s="613" t="e">
        <f t="shared" si="322"/>
        <v>#DIV/0!</v>
      </c>
      <c r="T125" s="613" t="e">
        <f t="shared" si="322"/>
        <v>#DIV/0!</v>
      </c>
      <c r="U125" s="613" t="e">
        <f t="shared" si="322"/>
        <v>#DIV/0!</v>
      </c>
      <c r="V125" s="613" t="e">
        <f t="shared" si="322"/>
        <v>#DIV/0!</v>
      </c>
      <c r="W125" s="613" t="e">
        <f t="shared" si="322"/>
        <v>#DIV/0!</v>
      </c>
      <c r="X125" s="613" t="e">
        <f t="shared" si="322"/>
        <v>#DIV/0!</v>
      </c>
      <c r="Y125" s="613" t="e">
        <f t="shared" si="322"/>
        <v>#DIV/0!</v>
      </c>
      <c r="Z125" s="613" t="e">
        <f t="shared" si="322"/>
        <v>#DIV/0!</v>
      </c>
      <c r="AA125" s="613" t="e">
        <f t="shared" si="322"/>
        <v>#DIV/0!</v>
      </c>
      <c r="AB125" s="613" t="e">
        <f t="shared" si="322"/>
        <v>#DIV/0!</v>
      </c>
      <c r="AC125" s="613" t="e">
        <f t="shared" si="322"/>
        <v>#DIV/0!</v>
      </c>
      <c r="AD125" s="613" t="e">
        <f t="shared" si="322"/>
        <v>#DIV/0!</v>
      </c>
      <c r="AE125" s="613" t="e">
        <f t="shared" si="322"/>
        <v>#DIV/0!</v>
      </c>
      <c r="AF125" s="613" t="e">
        <f t="shared" si="322"/>
        <v>#DIV/0!</v>
      </c>
      <c r="AG125" s="613" t="e">
        <f t="shared" si="322"/>
        <v>#DIV/0!</v>
      </c>
      <c r="AH125" s="613" t="e">
        <f t="shared" si="322"/>
        <v>#DIV/0!</v>
      </c>
      <c r="AI125" s="613" t="e">
        <f t="shared" si="322"/>
        <v>#DIV/0!</v>
      </c>
      <c r="AJ125" s="613" t="e">
        <f t="shared" si="322"/>
        <v>#DIV/0!</v>
      </c>
      <c r="AK125" s="613" t="e">
        <f t="shared" ref="AK125" si="323">AK126-AK124-AK123</f>
        <v>#N/A</v>
      </c>
    </row>
    <row r="126" spans="1:37" hidden="1" x14ac:dyDescent="0.2">
      <c r="A126" s="597" t="s">
        <v>805</v>
      </c>
      <c r="C126" s="613" t="e">
        <f>SUMSQ(C31:C98)-C122</f>
        <v>#DIV/0!</v>
      </c>
      <c r="D126" s="613" t="e">
        <f t="shared" ref="D126:AJ126" si="324">SUMSQ(D31:D98)-D122</f>
        <v>#DIV/0!</v>
      </c>
      <c r="E126" s="613" t="e">
        <f t="shared" si="324"/>
        <v>#DIV/0!</v>
      </c>
      <c r="F126" s="613" t="e">
        <f t="shared" si="324"/>
        <v>#DIV/0!</v>
      </c>
      <c r="G126" s="613" t="e">
        <f t="shared" si="324"/>
        <v>#DIV/0!</v>
      </c>
      <c r="H126" s="613" t="e">
        <f t="shared" si="324"/>
        <v>#DIV/0!</v>
      </c>
      <c r="I126" s="613" t="e">
        <f t="shared" si="324"/>
        <v>#DIV/0!</v>
      </c>
      <c r="J126" s="613" t="e">
        <f t="shared" si="324"/>
        <v>#DIV/0!</v>
      </c>
      <c r="K126" s="613" t="e">
        <f t="shared" si="324"/>
        <v>#DIV/0!</v>
      </c>
      <c r="L126" s="613" t="e">
        <f t="shared" si="324"/>
        <v>#DIV/0!</v>
      </c>
      <c r="M126" s="613" t="e">
        <f t="shared" si="324"/>
        <v>#DIV/0!</v>
      </c>
      <c r="N126" s="613" t="e">
        <f t="shared" si="324"/>
        <v>#DIV/0!</v>
      </c>
      <c r="O126" s="613" t="e">
        <f t="shared" si="324"/>
        <v>#DIV/0!</v>
      </c>
      <c r="P126" s="613" t="e">
        <f t="shared" si="324"/>
        <v>#DIV/0!</v>
      </c>
      <c r="Q126" s="613" t="e">
        <f t="shared" si="324"/>
        <v>#DIV/0!</v>
      </c>
      <c r="R126" s="613" t="e">
        <f t="shared" si="324"/>
        <v>#DIV/0!</v>
      </c>
      <c r="S126" s="613" t="e">
        <f t="shared" si="324"/>
        <v>#DIV/0!</v>
      </c>
      <c r="T126" s="613" t="e">
        <f t="shared" si="324"/>
        <v>#DIV/0!</v>
      </c>
      <c r="U126" s="613" t="e">
        <f t="shared" si="324"/>
        <v>#DIV/0!</v>
      </c>
      <c r="V126" s="613" t="e">
        <f t="shared" si="324"/>
        <v>#DIV/0!</v>
      </c>
      <c r="W126" s="613" t="e">
        <f t="shared" si="324"/>
        <v>#DIV/0!</v>
      </c>
      <c r="X126" s="613" t="e">
        <f t="shared" si="324"/>
        <v>#DIV/0!</v>
      </c>
      <c r="Y126" s="613" t="e">
        <f t="shared" si="324"/>
        <v>#DIV/0!</v>
      </c>
      <c r="Z126" s="613" t="e">
        <f t="shared" si="324"/>
        <v>#DIV/0!</v>
      </c>
      <c r="AA126" s="613" t="e">
        <f t="shared" si="324"/>
        <v>#DIV/0!</v>
      </c>
      <c r="AB126" s="613" t="e">
        <f t="shared" si="324"/>
        <v>#DIV/0!</v>
      </c>
      <c r="AC126" s="613" t="e">
        <f t="shared" si="324"/>
        <v>#DIV/0!</v>
      </c>
      <c r="AD126" s="613" t="e">
        <f t="shared" si="324"/>
        <v>#DIV/0!</v>
      </c>
      <c r="AE126" s="613" t="e">
        <f t="shared" si="324"/>
        <v>#DIV/0!</v>
      </c>
      <c r="AF126" s="613" t="e">
        <f t="shared" si="324"/>
        <v>#DIV/0!</v>
      </c>
      <c r="AG126" s="613" t="e">
        <f t="shared" si="324"/>
        <v>#DIV/0!</v>
      </c>
      <c r="AH126" s="613" t="e">
        <f t="shared" si="324"/>
        <v>#DIV/0!</v>
      </c>
      <c r="AI126" s="613" t="e">
        <f t="shared" si="324"/>
        <v>#DIV/0!</v>
      </c>
      <c r="AJ126" s="613" t="e">
        <f t="shared" si="324"/>
        <v>#DIV/0!</v>
      </c>
      <c r="AK126" s="613" t="e">
        <f t="shared" ref="AK126" si="325">SUMSQ(AK31:AK98)-AK122</f>
        <v>#N/A</v>
      </c>
    </row>
    <row r="127" spans="1:37" hidden="1" x14ac:dyDescent="0.2">
      <c r="A127" s="597" t="s">
        <v>806</v>
      </c>
      <c r="C127" s="598">
        <f t="shared" ref="C127" si="326">C100-1</f>
        <v>-1</v>
      </c>
      <c r="D127" s="598">
        <f t="shared" ref="D127:AK127" si="327">D100-1</f>
        <v>-1</v>
      </c>
      <c r="E127" s="598">
        <f t="shared" si="327"/>
        <v>-1</v>
      </c>
      <c r="F127" s="598">
        <f t="shared" si="327"/>
        <v>-1</v>
      </c>
      <c r="G127" s="598">
        <f t="shared" si="327"/>
        <v>-1</v>
      </c>
      <c r="H127" s="598">
        <f t="shared" si="327"/>
        <v>-1</v>
      </c>
      <c r="I127" s="598">
        <f t="shared" si="327"/>
        <v>-1</v>
      </c>
      <c r="J127" s="598">
        <f t="shared" si="327"/>
        <v>-1</v>
      </c>
      <c r="K127" s="598">
        <f t="shared" si="327"/>
        <v>-1</v>
      </c>
      <c r="L127" s="598">
        <f t="shared" si="327"/>
        <v>-1</v>
      </c>
      <c r="M127" s="598">
        <f t="shared" si="327"/>
        <v>-1</v>
      </c>
      <c r="N127" s="598">
        <f t="shared" si="327"/>
        <v>-1</v>
      </c>
      <c r="O127" s="598">
        <f t="shared" si="327"/>
        <v>-1</v>
      </c>
      <c r="P127" s="598">
        <f t="shared" si="327"/>
        <v>-1</v>
      </c>
      <c r="Q127" s="598">
        <f t="shared" si="327"/>
        <v>-1</v>
      </c>
      <c r="R127" s="598">
        <f t="shared" si="327"/>
        <v>-1</v>
      </c>
      <c r="S127" s="598">
        <f t="shared" si="327"/>
        <v>-1</v>
      </c>
      <c r="T127" s="598">
        <f t="shared" si="327"/>
        <v>-1</v>
      </c>
      <c r="U127" s="598">
        <f t="shared" si="327"/>
        <v>-1</v>
      </c>
      <c r="V127" s="598">
        <f t="shared" si="327"/>
        <v>-1</v>
      </c>
      <c r="W127" s="598">
        <f t="shared" si="327"/>
        <v>-1</v>
      </c>
      <c r="X127" s="598">
        <f t="shared" si="327"/>
        <v>-1</v>
      </c>
      <c r="Y127" s="598">
        <f t="shared" si="327"/>
        <v>-1</v>
      </c>
      <c r="Z127" s="598">
        <f t="shared" si="327"/>
        <v>-1</v>
      </c>
      <c r="AA127" s="598">
        <f t="shared" si="327"/>
        <v>-1</v>
      </c>
      <c r="AB127" s="598">
        <f t="shared" si="327"/>
        <v>-1</v>
      </c>
      <c r="AC127" s="598">
        <f t="shared" si="327"/>
        <v>-1</v>
      </c>
      <c r="AD127" s="598">
        <f t="shared" si="327"/>
        <v>-1</v>
      </c>
      <c r="AE127" s="598">
        <f t="shared" si="327"/>
        <v>-1</v>
      </c>
      <c r="AF127" s="598">
        <f t="shared" si="327"/>
        <v>-1</v>
      </c>
      <c r="AG127" s="598">
        <f t="shared" si="327"/>
        <v>-1</v>
      </c>
      <c r="AH127" s="598">
        <f t="shared" si="327"/>
        <v>-1</v>
      </c>
      <c r="AI127" s="598">
        <f t="shared" si="327"/>
        <v>-1</v>
      </c>
      <c r="AJ127" s="598">
        <f t="shared" si="327"/>
        <v>-1</v>
      </c>
      <c r="AK127" s="598">
        <f t="shared" si="327"/>
        <v>-1</v>
      </c>
    </row>
    <row r="128" spans="1:37" hidden="1" x14ac:dyDescent="0.2">
      <c r="A128" s="597" t="s">
        <v>806</v>
      </c>
      <c r="C128" s="598">
        <f>COUNTIF(C118:C121,"&gt;0")-1</f>
        <v>-1</v>
      </c>
      <c r="D128" s="598">
        <f t="shared" ref="D128:AK128" si="328">COUNTIF(D118:D121,"&gt;0")-1</f>
        <v>-1</v>
      </c>
      <c r="E128" s="598">
        <f t="shared" si="328"/>
        <v>-1</v>
      </c>
      <c r="F128" s="598">
        <f t="shared" si="328"/>
        <v>-1</v>
      </c>
      <c r="G128" s="598">
        <f t="shared" si="328"/>
        <v>-1</v>
      </c>
      <c r="H128" s="598">
        <f t="shared" si="328"/>
        <v>-1</v>
      </c>
      <c r="I128" s="598">
        <f t="shared" si="328"/>
        <v>-1</v>
      </c>
      <c r="J128" s="598">
        <f t="shared" si="328"/>
        <v>-1</v>
      </c>
      <c r="K128" s="598">
        <f t="shared" si="328"/>
        <v>-1</v>
      </c>
      <c r="L128" s="598">
        <f t="shared" si="328"/>
        <v>-1</v>
      </c>
      <c r="M128" s="598">
        <f t="shared" si="328"/>
        <v>-1</v>
      </c>
      <c r="N128" s="598">
        <f t="shared" si="328"/>
        <v>-1</v>
      </c>
      <c r="O128" s="598">
        <f t="shared" si="328"/>
        <v>-1</v>
      </c>
      <c r="P128" s="598">
        <f t="shared" si="328"/>
        <v>-1</v>
      </c>
      <c r="Q128" s="598">
        <f t="shared" si="328"/>
        <v>-1</v>
      </c>
      <c r="R128" s="598">
        <f t="shared" si="328"/>
        <v>-1</v>
      </c>
      <c r="S128" s="598">
        <f t="shared" si="328"/>
        <v>-1</v>
      </c>
      <c r="T128" s="598">
        <f t="shared" si="328"/>
        <v>-1</v>
      </c>
      <c r="U128" s="598">
        <f t="shared" si="328"/>
        <v>-1</v>
      </c>
      <c r="V128" s="598">
        <f t="shared" si="328"/>
        <v>-1</v>
      </c>
      <c r="W128" s="598">
        <f t="shared" si="328"/>
        <v>-1</v>
      </c>
      <c r="X128" s="598">
        <f t="shared" si="328"/>
        <v>-1</v>
      </c>
      <c r="Y128" s="598">
        <f t="shared" si="328"/>
        <v>-1</v>
      </c>
      <c r="Z128" s="598">
        <f t="shared" si="328"/>
        <v>-1</v>
      </c>
      <c r="AA128" s="598">
        <f t="shared" si="328"/>
        <v>-1</v>
      </c>
      <c r="AB128" s="598">
        <f t="shared" si="328"/>
        <v>-1</v>
      </c>
      <c r="AC128" s="598">
        <f t="shared" si="328"/>
        <v>-1</v>
      </c>
      <c r="AD128" s="598">
        <f t="shared" si="328"/>
        <v>-1</v>
      </c>
      <c r="AE128" s="598">
        <f t="shared" si="328"/>
        <v>-1</v>
      </c>
      <c r="AF128" s="598">
        <f t="shared" si="328"/>
        <v>-1</v>
      </c>
      <c r="AG128" s="598">
        <f t="shared" si="328"/>
        <v>-1</v>
      </c>
      <c r="AH128" s="598">
        <f t="shared" si="328"/>
        <v>-1</v>
      </c>
      <c r="AI128" s="598">
        <f t="shared" si="328"/>
        <v>-1</v>
      </c>
      <c r="AJ128" s="598">
        <f t="shared" si="328"/>
        <v>-1</v>
      </c>
      <c r="AK128" s="598">
        <f t="shared" si="328"/>
        <v>-1</v>
      </c>
    </row>
    <row r="129" spans="1:37" hidden="1" x14ac:dyDescent="0.2">
      <c r="A129" s="597" t="s">
        <v>806</v>
      </c>
      <c r="C129" s="598">
        <f t="shared" ref="C129" si="329">C130-C127-C128</f>
        <v>1</v>
      </c>
      <c r="D129" s="598">
        <f t="shared" ref="D129:AK129" si="330">D130-D127-D128</f>
        <v>1</v>
      </c>
      <c r="E129" s="598">
        <f t="shared" si="330"/>
        <v>1</v>
      </c>
      <c r="F129" s="598">
        <f t="shared" si="330"/>
        <v>1</v>
      </c>
      <c r="G129" s="598">
        <f t="shared" si="330"/>
        <v>1</v>
      </c>
      <c r="H129" s="598">
        <f t="shared" si="330"/>
        <v>1</v>
      </c>
      <c r="I129" s="598">
        <f t="shared" si="330"/>
        <v>1</v>
      </c>
      <c r="J129" s="598">
        <f t="shared" si="330"/>
        <v>1</v>
      </c>
      <c r="K129" s="598">
        <f t="shared" si="330"/>
        <v>1</v>
      </c>
      <c r="L129" s="598">
        <f t="shared" si="330"/>
        <v>1</v>
      </c>
      <c r="M129" s="598">
        <f t="shared" si="330"/>
        <v>1</v>
      </c>
      <c r="N129" s="598">
        <f t="shared" si="330"/>
        <v>1</v>
      </c>
      <c r="O129" s="598">
        <f t="shared" si="330"/>
        <v>1</v>
      </c>
      <c r="P129" s="598">
        <f t="shared" si="330"/>
        <v>1</v>
      </c>
      <c r="Q129" s="598">
        <f t="shared" si="330"/>
        <v>1</v>
      </c>
      <c r="R129" s="598">
        <f t="shared" si="330"/>
        <v>1</v>
      </c>
      <c r="S129" s="598">
        <f t="shared" si="330"/>
        <v>1</v>
      </c>
      <c r="T129" s="598">
        <f t="shared" si="330"/>
        <v>1</v>
      </c>
      <c r="U129" s="598">
        <f t="shared" si="330"/>
        <v>1</v>
      </c>
      <c r="V129" s="598">
        <f t="shared" si="330"/>
        <v>1</v>
      </c>
      <c r="W129" s="598">
        <f t="shared" si="330"/>
        <v>1</v>
      </c>
      <c r="X129" s="598">
        <f t="shared" si="330"/>
        <v>1</v>
      </c>
      <c r="Y129" s="598">
        <f t="shared" si="330"/>
        <v>1</v>
      </c>
      <c r="Z129" s="598">
        <f t="shared" si="330"/>
        <v>1</v>
      </c>
      <c r="AA129" s="598">
        <f t="shared" si="330"/>
        <v>1</v>
      </c>
      <c r="AB129" s="598">
        <f t="shared" si="330"/>
        <v>1</v>
      </c>
      <c r="AC129" s="598">
        <f t="shared" si="330"/>
        <v>1</v>
      </c>
      <c r="AD129" s="598">
        <f t="shared" si="330"/>
        <v>1</v>
      </c>
      <c r="AE129" s="598">
        <f t="shared" si="330"/>
        <v>1</v>
      </c>
      <c r="AF129" s="598">
        <f t="shared" si="330"/>
        <v>1</v>
      </c>
      <c r="AG129" s="598">
        <f t="shared" si="330"/>
        <v>1</v>
      </c>
      <c r="AH129" s="598">
        <f t="shared" si="330"/>
        <v>1</v>
      </c>
      <c r="AI129" s="598">
        <f t="shared" si="330"/>
        <v>1</v>
      </c>
      <c r="AJ129" s="598">
        <f t="shared" si="330"/>
        <v>1</v>
      </c>
      <c r="AK129" s="598">
        <f t="shared" si="330"/>
        <v>1</v>
      </c>
    </row>
    <row r="130" spans="1:37" hidden="1" x14ac:dyDescent="0.2">
      <c r="A130" s="597" t="s">
        <v>806</v>
      </c>
      <c r="C130" s="598">
        <f t="shared" ref="C130" si="331">C99-1</f>
        <v>-1</v>
      </c>
      <c r="D130" s="598">
        <f t="shared" ref="D130:AK130" si="332">D99-1</f>
        <v>-1</v>
      </c>
      <c r="E130" s="598">
        <f t="shared" si="332"/>
        <v>-1</v>
      </c>
      <c r="F130" s="598">
        <f t="shared" si="332"/>
        <v>-1</v>
      </c>
      <c r="G130" s="598">
        <f t="shared" si="332"/>
        <v>-1</v>
      </c>
      <c r="H130" s="598">
        <f t="shared" si="332"/>
        <v>-1</v>
      </c>
      <c r="I130" s="598">
        <f t="shared" si="332"/>
        <v>-1</v>
      </c>
      <c r="J130" s="598">
        <f t="shared" si="332"/>
        <v>-1</v>
      </c>
      <c r="K130" s="598">
        <f t="shared" si="332"/>
        <v>-1</v>
      </c>
      <c r="L130" s="598">
        <f t="shared" si="332"/>
        <v>-1</v>
      </c>
      <c r="M130" s="598">
        <f t="shared" si="332"/>
        <v>-1</v>
      </c>
      <c r="N130" s="598">
        <f t="shared" si="332"/>
        <v>-1</v>
      </c>
      <c r="O130" s="598">
        <f t="shared" si="332"/>
        <v>-1</v>
      </c>
      <c r="P130" s="598">
        <f t="shared" si="332"/>
        <v>-1</v>
      </c>
      <c r="Q130" s="598">
        <f t="shared" si="332"/>
        <v>-1</v>
      </c>
      <c r="R130" s="598">
        <f t="shared" si="332"/>
        <v>-1</v>
      </c>
      <c r="S130" s="598">
        <f t="shared" si="332"/>
        <v>-1</v>
      </c>
      <c r="T130" s="598">
        <f t="shared" si="332"/>
        <v>-1</v>
      </c>
      <c r="U130" s="598">
        <f t="shared" si="332"/>
        <v>-1</v>
      </c>
      <c r="V130" s="598">
        <f t="shared" si="332"/>
        <v>-1</v>
      </c>
      <c r="W130" s="598">
        <f t="shared" si="332"/>
        <v>-1</v>
      </c>
      <c r="X130" s="598">
        <f t="shared" si="332"/>
        <v>-1</v>
      </c>
      <c r="Y130" s="598">
        <f t="shared" si="332"/>
        <v>-1</v>
      </c>
      <c r="Z130" s="598">
        <f t="shared" si="332"/>
        <v>-1</v>
      </c>
      <c r="AA130" s="598">
        <f t="shared" si="332"/>
        <v>-1</v>
      </c>
      <c r="AB130" s="598">
        <f t="shared" si="332"/>
        <v>-1</v>
      </c>
      <c r="AC130" s="598">
        <f t="shared" si="332"/>
        <v>-1</v>
      </c>
      <c r="AD130" s="598">
        <f t="shared" si="332"/>
        <v>-1</v>
      </c>
      <c r="AE130" s="598">
        <f t="shared" si="332"/>
        <v>-1</v>
      </c>
      <c r="AF130" s="598">
        <f t="shared" si="332"/>
        <v>-1</v>
      </c>
      <c r="AG130" s="598">
        <f t="shared" si="332"/>
        <v>-1</v>
      </c>
      <c r="AH130" s="598">
        <f t="shared" si="332"/>
        <v>-1</v>
      </c>
      <c r="AI130" s="598">
        <f t="shared" si="332"/>
        <v>-1</v>
      </c>
      <c r="AJ130" s="598">
        <f t="shared" si="332"/>
        <v>-1</v>
      </c>
      <c r="AK130" s="598">
        <f t="shared" si="332"/>
        <v>-1</v>
      </c>
    </row>
    <row r="131" spans="1:37" hidden="1" x14ac:dyDescent="0.2">
      <c r="A131" s="597" t="s">
        <v>807</v>
      </c>
      <c r="C131" s="598" t="e">
        <f t="shared" ref="C131" si="333">C123/C127</f>
        <v>#DIV/0!</v>
      </c>
      <c r="D131" s="598" t="e">
        <f t="shared" ref="D131:AK131" si="334">D123/D127</f>
        <v>#DIV/0!</v>
      </c>
      <c r="E131" s="598" t="e">
        <f t="shared" si="334"/>
        <v>#DIV/0!</v>
      </c>
      <c r="F131" s="598" t="e">
        <f t="shared" si="334"/>
        <v>#DIV/0!</v>
      </c>
      <c r="G131" s="598" t="e">
        <f t="shared" si="334"/>
        <v>#DIV/0!</v>
      </c>
      <c r="H131" s="598" t="e">
        <f t="shared" si="334"/>
        <v>#DIV/0!</v>
      </c>
      <c r="I131" s="598" t="e">
        <f t="shared" si="334"/>
        <v>#DIV/0!</v>
      </c>
      <c r="J131" s="598" t="e">
        <f t="shared" si="334"/>
        <v>#DIV/0!</v>
      </c>
      <c r="K131" s="598" t="e">
        <f t="shared" si="334"/>
        <v>#DIV/0!</v>
      </c>
      <c r="L131" s="598" t="e">
        <f t="shared" si="334"/>
        <v>#DIV/0!</v>
      </c>
      <c r="M131" s="598" t="e">
        <f t="shared" si="334"/>
        <v>#DIV/0!</v>
      </c>
      <c r="N131" s="598" t="e">
        <f t="shared" si="334"/>
        <v>#DIV/0!</v>
      </c>
      <c r="O131" s="598" t="e">
        <f t="shared" si="334"/>
        <v>#DIV/0!</v>
      </c>
      <c r="P131" s="598" t="e">
        <f t="shared" si="334"/>
        <v>#DIV/0!</v>
      </c>
      <c r="Q131" s="598" t="e">
        <f t="shared" si="334"/>
        <v>#DIV/0!</v>
      </c>
      <c r="R131" s="598" t="e">
        <f t="shared" si="334"/>
        <v>#DIV/0!</v>
      </c>
      <c r="S131" s="598" t="e">
        <f t="shared" si="334"/>
        <v>#DIV/0!</v>
      </c>
      <c r="T131" s="598" t="e">
        <f t="shared" si="334"/>
        <v>#DIV/0!</v>
      </c>
      <c r="U131" s="598" t="e">
        <f t="shared" si="334"/>
        <v>#DIV/0!</v>
      </c>
      <c r="V131" s="598" t="e">
        <f t="shared" si="334"/>
        <v>#DIV/0!</v>
      </c>
      <c r="W131" s="598" t="e">
        <f t="shared" si="334"/>
        <v>#DIV/0!</v>
      </c>
      <c r="X131" s="598" t="e">
        <f t="shared" si="334"/>
        <v>#DIV/0!</v>
      </c>
      <c r="Y131" s="598" t="e">
        <f t="shared" si="334"/>
        <v>#DIV/0!</v>
      </c>
      <c r="Z131" s="598" t="e">
        <f t="shared" si="334"/>
        <v>#DIV/0!</v>
      </c>
      <c r="AA131" s="598" t="e">
        <f t="shared" si="334"/>
        <v>#DIV/0!</v>
      </c>
      <c r="AB131" s="598" t="e">
        <f t="shared" si="334"/>
        <v>#DIV/0!</v>
      </c>
      <c r="AC131" s="598" t="e">
        <f t="shared" si="334"/>
        <v>#DIV/0!</v>
      </c>
      <c r="AD131" s="598" t="e">
        <f t="shared" si="334"/>
        <v>#DIV/0!</v>
      </c>
      <c r="AE131" s="598" t="e">
        <f t="shared" si="334"/>
        <v>#DIV/0!</v>
      </c>
      <c r="AF131" s="598" t="e">
        <f t="shared" si="334"/>
        <v>#DIV/0!</v>
      </c>
      <c r="AG131" s="598" t="e">
        <f t="shared" si="334"/>
        <v>#DIV/0!</v>
      </c>
      <c r="AH131" s="598" t="e">
        <f t="shared" si="334"/>
        <v>#DIV/0!</v>
      </c>
      <c r="AI131" s="598" t="e">
        <f t="shared" si="334"/>
        <v>#DIV/0!</v>
      </c>
      <c r="AJ131" s="598" t="e">
        <f t="shared" si="334"/>
        <v>#DIV/0!</v>
      </c>
      <c r="AK131" s="598" t="e">
        <f t="shared" si="334"/>
        <v>#N/A</v>
      </c>
    </row>
    <row r="132" spans="1:37" hidden="1" x14ac:dyDescent="0.2">
      <c r="A132" s="597" t="s">
        <v>807</v>
      </c>
      <c r="C132" s="598" t="e">
        <f t="shared" ref="C132" si="335">C124/C128</f>
        <v>#DIV/0!</v>
      </c>
      <c r="D132" s="598" t="e">
        <f t="shared" ref="D132:AK132" si="336">D124/D128</f>
        <v>#DIV/0!</v>
      </c>
      <c r="E132" s="598" t="e">
        <f t="shared" si="336"/>
        <v>#DIV/0!</v>
      </c>
      <c r="F132" s="598" t="e">
        <f t="shared" si="336"/>
        <v>#DIV/0!</v>
      </c>
      <c r="G132" s="598" t="e">
        <f t="shared" si="336"/>
        <v>#DIV/0!</v>
      </c>
      <c r="H132" s="598" t="e">
        <f t="shared" si="336"/>
        <v>#DIV/0!</v>
      </c>
      <c r="I132" s="598" t="e">
        <f t="shared" si="336"/>
        <v>#DIV/0!</v>
      </c>
      <c r="J132" s="598" t="e">
        <f t="shared" si="336"/>
        <v>#DIV/0!</v>
      </c>
      <c r="K132" s="598" t="e">
        <f t="shared" si="336"/>
        <v>#DIV/0!</v>
      </c>
      <c r="L132" s="598" t="e">
        <f t="shared" si="336"/>
        <v>#DIV/0!</v>
      </c>
      <c r="M132" s="598" t="e">
        <f t="shared" si="336"/>
        <v>#DIV/0!</v>
      </c>
      <c r="N132" s="598" t="e">
        <f t="shared" si="336"/>
        <v>#DIV/0!</v>
      </c>
      <c r="O132" s="598" t="e">
        <f t="shared" si="336"/>
        <v>#DIV/0!</v>
      </c>
      <c r="P132" s="598" t="e">
        <f t="shared" si="336"/>
        <v>#DIV/0!</v>
      </c>
      <c r="Q132" s="598" t="e">
        <f t="shared" si="336"/>
        <v>#DIV/0!</v>
      </c>
      <c r="R132" s="598" t="e">
        <f t="shared" si="336"/>
        <v>#DIV/0!</v>
      </c>
      <c r="S132" s="598" t="e">
        <f t="shared" si="336"/>
        <v>#DIV/0!</v>
      </c>
      <c r="T132" s="598" t="e">
        <f t="shared" si="336"/>
        <v>#DIV/0!</v>
      </c>
      <c r="U132" s="598" t="e">
        <f t="shared" si="336"/>
        <v>#DIV/0!</v>
      </c>
      <c r="V132" s="598" t="e">
        <f t="shared" si="336"/>
        <v>#DIV/0!</v>
      </c>
      <c r="W132" s="598" t="e">
        <f t="shared" si="336"/>
        <v>#DIV/0!</v>
      </c>
      <c r="X132" s="598" t="e">
        <f t="shared" si="336"/>
        <v>#DIV/0!</v>
      </c>
      <c r="Y132" s="598" t="e">
        <f t="shared" si="336"/>
        <v>#DIV/0!</v>
      </c>
      <c r="Z132" s="598" t="e">
        <f t="shared" si="336"/>
        <v>#DIV/0!</v>
      </c>
      <c r="AA132" s="598" t="e">
        <f t="shared" si="336"/>
        <v>#DIV/0!</v>
      </c>
      <c r="AB132" s="598" t="e">
        <f t="shared" si="336"/>
        <v>#DIV/0!</v>
      </c>
      <c r="AC132" s="598" t="e">
        <f t="shared" si="336"/>
        <v>#DIV/0!</v>
      </c>
      <c r="AD132" s="598" t="e">
        <f t="shared" si="336"/>
        <v>#DIV/0!</v>
      </c>
      <c r="AE132" s="598" t="e">
        <f t="shared" si="336"/>
        <v>#DIV/0!</v>
      </c>
      <c r="AF132" s="598" t="e">
        <f t="shared" si="336"/>
        <v>#DIV/0!</v>
      </c>
      <c r="AG132" s="598" t="e">
        <f t="shared" si="336"/>
        <v>#DIV/0!</v>
      </c>
      <c r="AH132" s="598" t="e">
        <f t="shared" si="336"/>
        <v>#DIV/0!</v>
      </c>
      <c r="AI132" s="598" t="e">
        <f t="shared" si="336"/>
        <v>#DIV/0!</v>
      </c>
      <c r="AJ132" s="598" t="e">
        <f t="shared" si="336"/>
        <v>#DIV/0!</v>
      </c>
      <c r="AK132" s="598" t="e">
        <f t="shared" si="336"/>
        <v>#N/A</v>
      </c>
    </row>
    <row r="133" spans="1:37" hidden="1" x14ac:dyDescent="0.2">
      <c r="A133" s="597" t="s">
        <v>807</v>
      </c>
      <c r="C133" s="598" t="e">
        <f t="shared" ref="C133" si="337">C125/C129</f>
        <v>#DIV/0!</v>
      </c>
      <c r="D133" s="598" t="e">
        <f t="shared" ref="D133:AK133" si="338">D125/D129</f>
        <v>#DIV/0!</v>
      </c>
      <c r="E133" s="598" t="e">
        <f t="shared" si="338"/>
        <v>#DIV/0!</v>
      </c>
      <c r="F133" s="598" t="e">
        <f t="shared" si="338"/>
        <v>#DIV/0!</v>
      </c>
      <c r="G133" s="598" t="e">
        <f t="shared" si="338"/>
        <v>#DIV/0!</v>
      </c>
      <c r="H133" s="598" t="e">
        <f t="shared" si="338"/>
        <v>#DIV/0!</v>
      </c>
      <c r="I133" s="598" t="e">
        <f t="shared" si="338"/>
        <v>#DIV/0!</v>
      </c>
      <c r="J133" s="598" t="e">
        <f t="shared" si="338"/>
        <v>#DIV/0!</v>
      </c>
      <c r="K133" s="598" t="e">
        <f t="shared" si="338"/>
        <v>#DIV/0!</v>
      </c>
      <c r="L133" s="598" t="e">
        <f t="shared" si="338"/>
        <v>#DIV/0!</v>
      </c>
      <c r="M133" s="598" t="e">
        <f t="shared" si="338"/>
        <v>#DIV/0!</v>
      </c>
      <c r="N133" s="598" t="e">
        <f t="shared" si="338"/>
        <v>#DIV/0!</v>
      </c>
      <c r="O133" s="598" t="e">
        <f t="shared" si="338"/>
        <v>#DIV/0!</v>
      </c>
      <c r="P133" s="598" t="e">
        <f t="shared" si="338"/>
        <v>#DIV/0!</v>
      </c>
      <c r="Q133" s="598" t="e">
        <f t="shared" si="338"/>
        <v>#DIV/0!</v>
      </c>
      <c r="R133" s="598" t="e">
        <f t="shared" si="338"/>
        <v>#DIV/0!</v>
      </c>
      <c r="S133" s="598" t="e">
        <f t="shared" si="338"/>
        <v>#DIV/0!</v>
      </c>
      <c r="T133" s="598" t="e">
        <f t="shared" si="338"/>
        <v>#DIV/0!</v>
      </c>
      <c r="U133" s="598" t="e">
        <f t="shared" si="338"/>
        <v>#DIV/0!</v>
      </c>
      <c r="V133" s="598" t="e">
        <f t="shared" si="338"/>
        <v>#DIV/0!</v>
      </c>
      <c r="W133" s="598" t="e">
        <f t="shared" si="338"/>
        <v>#DIV/0!</v>
      </c>
      <c r="X133" s="598" t="e">
        <f t="shared" si="338"/>
        <v>#DIV/0!</v>
      </c>
      <c r="Y133" s="598" t="e">
        <f t="shared" si="338"/>
        <v>#DIV/0!</v>
      </c>
      <c r="Z133" s="598" t="e">
        <f t="shared" si="338"/>
        <v>#DIV/0!</v>
      </c>
      <c r="AA133" s="598" t="e">
        <f t="shared" si="338"/>
        <v>#DIV/0!</v>
      </c>
      <c r="AB133" s="598" t="e">
        <f t="shared" si="338"/>
        <v>#DIV/0!</v>
      </c>
      <c r="AC133" s="598" t="e">
        <f t="shared" si="338"/>
        <v>#DIV/0!</v>
      </c>
      <c r="AD133" s="598" t="e">
        <f t="shared" si="338"/>
        <v>#DIV/0!</v>
      </c>
      <c r="AE133" s="598" t="e">
        <f t="shared" si="338"/>
        <v>#DIV/0!</v>
      </c>
      <c r="AF133" s="598" t="e">
        <f t="shared" si="338"/>
        <v>#DIV/0!</v>
      </c>
      <c r="AG133" s="598" t="e">
        <f t="shared" si="338"/>
        <v>#DIV/0!</v>
      </c>
      <c r="AH133" s="598" t="e">
        <f t="shared" si="338"/>
        <v>#DIV/0!</v>
      </c>
      <c r="AI133" s="598" t="e">
        <f t="shared" si="338"/>
        <v>#DIV/0!</v>
      </c>
      <c r="AJ133" s="598" t="e">
        <f t="shared" si="338"/>
        <v>#DIV/0!</v>
      </c>
      <c r="AK133" s="598" t="e">
        <f t="shared" si="338"/>
        <v>#N/A</v>
      </c>
    </row>
    <row r="134" spans="1:37" hidden="1" x14ac:dyDescent="0.2">
      <c r="A134" s="597" t="s">
        <v>808</v>
      </c>
      <c r="C134" s="598" t="e">
        <f>C131/C$133</f>
        <v>#DIV/0!</v>
      </c>
      <c r="D134" s="598" t="e">
        <f t="shared" ref="D134:AK134" si="339">D131/D$133</f>
        <v>#DIV/0!</v>
      </c>
      <c r="E134" s="598" t="e">
        <f t="shared" si="339"/>
        <v>#DIV/0!</v>
      </c>
      <c r="F134" s="598" t="e">
        <f t="shared" si="339"/>
        <v>#DIV/0!</v>
      </c>
      <c r="G134" s="598" t="e">
        <f t="shared" si="339"/>
        <v>#DIV/0!</v>
      </c>
      <c r="H134" s="598" t="e">
        <f t="shared" si="339"/>
        <v>#DIV/0!</v>
      </c>
      <c r="I134" s="598" t="e">
        <f t="shared" si="339"/>
        <v>#DIV/0!</v>
      </c>
      <c r="J134" s="598" t="e">
        <f t="shared" si="339"/>
        <v>#DIV/0!</v>
      </c>
      <c r="K134" s="598" t="e">
        <f t="shared" si="339"/>
        <v>#DIV/0!</v>
      </c>
      <c r="L134" s="598" t="e">
        <f t="shared" si="339"/>
        <v>#DIV/0!</v>
      </c>
      <c r="M134" s="598" t="e">
        <f t="shared" si="339"/>
        <v>#DIV/0!</v>
      </c>
      <c r="N134" s="598" t="e">
        <f t="shared" si="339"/>
        <v>#DIV/0!</v>
      </c>
      <c r="O134" s="598" t="e">
        <f t="shared" si="339"/>
        <v>#DIV/0!</v>
      </c>
      <c r="P134" s="598" t="e">
        <f t="shared" si="339"/>
        <v>#DIV/0!</v>
      </c>
      <c r="Q134" s="598" t="e">
        <f t="shared" si="339"/>
        <v>#DIV/0!</v>
      </c>
      <c r="R134" s="598" t="e">
        <f t="shared" si="339"/>
        <v>#DIV/0!</v>
      </c>
      <c r="S134" s="598" t="e">
        <f t="shared" si="339"/>
        <v>#DIV/0!</v>
      </c>
      <c r="T134" s="598" t="e">
        <f t="shared" si="339"/>
        <v>#DIV/0!</v>
      </c>
      <c r="U134" s="598" t="e">
        <f t="shared" si="339"/>
        <v>#DIV/0!</v>
      </c>
      <c r="V134" s="598" t="e">
        <f t="shared" si="339"/>
        <v>#DIV/0!</v>
      </c>
      <c r="W134" s="598" t="e">
        <f t="shared" si="339"/>
        <v>#DIV/0!</v>
      </c>
      <c r="X134" s="598" t="e">
        <f t="shared" si="339"/>
        <v>#DIV/0!</v>
      </c>
      <c r="Y134" s="598" t="e">
        <f t="shared" si="339"/>
        <v>#DIV/0!</v>
      </c>
      <c r="Z134" s="598" t="e">
        <f t="shared" si="339"/>
        <v>#DIV/0!</v>
      </c>
      <c r="AA134" s="598" t="e">
        <f t="shared" si="339"/>
        <v>#DIV/0!</v>
      </c>
      <c r="AB134" s="598" t="e">
        <f t="shared" si="339"/>
        <v>#DIV/0!</v>
      </c>
      <c r="AC134" s="598" t="e">
        <f t="shared" si="339"/>
        <v>#DIV/0!</v>
      </c>
      <c r="AD134" s="598" t="e">
        <f t="shared" si="339"/>
        <v>#DIV/0!</v>
      </c>
      <c r="AE134" s="598" t="e">
        <f t="shared" si="339"/>
        <v>#DIV/0!</v>
      </c>
      <c r="AF134" s="598" t="e">
        <f t="shared" si="339"/>
        <v>#DIV/0!</v>
      </c>
      <c r="AG134" s="598" t="e">
        <f t="shared" si="339"/>
        <v>#DIV/0!</v>
      </c>
      <c r="AH134" s="598" t="e">
        <f t="shared" si="339"/>
        <v>#DIV/0!</v>
      </c>
      <c r="AI134" s="598" t="e">
        <f t="shared" si="339"/>
        <v>#DIV/0!</v>
      </c>
      <c r="AJ134" s="598" t="e">
        <f t="shared" si="339"/>
        <v>#DIV/0!</v>
      </c>
      <c r="AK134" s="598" t="e">
        <f t="shared" si="339"/>
        <v>#N/A</v>
      </c>
    </row>
    <row r="135" spans="1:37" hidden="1" x14ac:dyDescent="0.2">
      <c r="A135" s="597" t="s">
        <v>808</v>
      </c>
      <c r="C135" s="598" t="e">
        <f>C132/C$133</f>
        <v>#DIV/0!</v>
      </c>
      <c r="D135" s="598" t="e">
        <f t="shared" ref="D135:AK135" si="340">D132/D$133</f>
        <v>#DIV/0!</v>
      </c>
      <c r="E135" s="598" t="e">
        <f t="shared" si="340"/>
        <v>#DIV/0!</v>
      </c>
      <c r="F135" s="598" t="e">
        <f t="shared" si="340"/>
        <v>#DIV/0!</v>
      </c>
      <c r="G135" s="598" t="e">
        <f t="shared" si="340"/>
        <v>#DIV/0!</v>
      </c>
      <c r="H135" s="598" t="e">
        <f t="shared" si="340"/>
        <v>#DIV/0!</v>
      </c>
      <c r="I135" s="598" t="e">
        <f t="shared" si="340"/>
        <v>#DIV/0!</v>
      </c>
      <c r="J135" s="598" t="e">
        <f t="shared" si="340"/>
        <v>#DIV/0!</v>
      </c>
      <c r="K135" s="598" t="e">
        <f t="shared" si="340"/>
        <v>#DIV/0!</v>
      </c>
      <c r="L135" s="598" t="e">
        <f t="shared" si="340"/>
        <v>#DIV/0!</v>
      </c>
      <c r="M135" s="598" t="e">
        <f t="shared" si="340"/>
        <v>#DIV/0!</v>
      </c>
      <c r="N135" s="598" t="e">
        <f t="shared" si="340"/>
        <v>#DIV/0!</v>
      </c>
      <c r="O135" s="598" t="e">
        <f t="shared" si="340"/>
        <v>#DIV/0!</v>
      </c>
      <c r="P135" s="598" t="e">
        <f t="shared" si="340"/>
        <v>#DIV/0!</v>
      </c>
      <c r="Q135" s="598" t="e">
        <f t="shared" si="340"/>
        <v>#DIV/0!</v>
      </c>
      <c r="R135" s="598" t="e">
        <f t="shared" si="340"/>
        <v>#DIV/0!</v>
      </c>
      <c r="S135" s="598" t="e">
        <f t="shared" si="340"/>
        <v>#DIV/0!</v>
      </c>
      <c r="T135" s="598" t="e">
        <f t="shared" si="340"/>
        <v>#DIV/0!</v>
      </c>
      <c r="U135" s="598" t="e">
        <f t="shared" si="340"/>
        <v>#DIV/0!</v>
      </c>
      <c r="V135" s="598" t="e">
        <f t="shared" si="340"/>
        <v>#DIV/0!</v>
      </c>
      <c r="W135" s="598" t="e">
        <f t="shared" si="340"/>
        <v>#DIV/0!</v>
      </c>
      <c r="X135" s="598" t="e">
        <f t="shared" si="340"/>
        <v>#DIV/0!</v>
      </c>
      <c r="Y135" s="598" t="e">
        <f t="shared" si="340"/>
        <v>#DIV/0!</v>
      </c>
      <c r="Z135" s="598" t="e">
        <f t="shared" si="340"/>
        <v>#DIV/0!</v>
      </c>
      <c r="AA135" s="598" t="e">
        <f t="shared" si="340"/>
        <v>#DIV/0!</v>
      </c>
      <c r="AB135" s="598" t="e">
        <f t="shared" si="340"/>
        <v>#DIV/0!</v>
      </c>
      <c r="AC135" s="598" t="e">
        <f t="shared" si="340"/>
        <v>#DIV/0!</v>
      </c>
      <c r="AD135" s="598" t="e">
        <f t="shared" si="340"/>
        <v>#DIV/0!</v>
      </c>
      <c r="AE135" s="598" t="e">
        <f t="shared" si="340"/>
        <v>#DIV/0!</v>
      </c>
      <c r="AF135" s="598" t="e">
        <f t="shared" si="340"/>
        <v>#DIV/0!</v>
      </c>
      <c r="AG135" s="598" t="e">
        <f t="shared" si="340"/>
        <v>#DIV/0!</v>
      </c>
      <c r="AH135" s="598" t="e">
        <f t="shared" si="340"/>
        <v>#DIV/0!</v>
      </c>
      <c r="AI135" s="598" t="e">
        <f t="shared" si="340"/>
        <v>#DIV/0!</v>
      </c>
      <c r="AJ135" s="598" t="e">
        <f t="shared" si="340"/>
        <v>#DIV/0!</v>
      </c>
      <c r="AK135" s="598" t="e">
        <f t="shared" si="340"/>
        <v>#N/A</v>
      </c>
    </row>
    <row r="136" spans="1:37" hidden="1" x14ac:dyDescent="0.2">
      <c r="A136" s="597" t="s">
        <v>801</v>
      </c>
      <c r="C136" s="598" t="e">
        <f>FDIST(C134,C127,C$129)</f>
        <v>#DIV/0!</v>
      </c>
      <c r="D136" s="598" t="e">
        <f t="shared" ref="D136:AK136" si="341">FDIST(D134,D127,D$129)</f>
        <v>#DIV/0!</v>
      </c>
      <c r="E136" s="598" t="e">
        <f t="shared" si="341"/>
        <v>#DIV/0!</v>
      </c>
      <c r="F136" s="598" t="e">
        <f t="shared" si="341"/>
        <v>#DIV/0!</v>
      </c>
      <c r="G136" s="598" t="e">
        <f t="shared" si="341"/>
        <v>#DIV/0!</v>
      </c>
      <c r="H136" s="598" t="e">
        <f t="shared" si="341"/>
        <v>#DIV/0!</v>
      </c>
      <c r="I136" s="598" t="e">
        <f t="shared" si="341"/>
        <v>#DIV/0!</v>
      </c>
      <c r="J136" s="598" t="e">
        <f t="shared" si="341"/>
        <v>#DIV/0!</v>
      </c>
      <c r="K136" s="598" t="e">
        <f t="shared" si="341"/>
        <v>#DIV/0!</v>
      </c>
      <c r="L136" s="598" t="e">
        <f t="shared" si="341"/>
        <v>#DIV/0!</v>
      </c>
      <c r="M136" s="598" t="e">
        <f t="shared" si="341"/>
        <v>#DIV/0!</v>
      </c>
      <c r="N136" s="598" t="e">
        <f t="shared" si="341"/>
        <v>#DIV/0!</v>
      </c>
      <c r="O136" s="598" t="e">
        <f t="shared" si="341"/>
        <v>#DIV/0!</v>
      </c>
      <c r="P136" s="598" t="e">
        <f t="shared" si="341"/>
        <v>#DIV/0!</v>
      </c>
      <c r="Q136" s="598" t="e">
        <f t="shared" si="341"/>
        <v>#DIV/0!</v>
      </c>
      <c r="R136" s="598" t="e">
        <f t="shared" si="341"/>
        <v>#DIV/0!</v>
      </c>
      <c r="S136" s="598" t="e">
        <f t="shared" si="341"/>
        <v>#DIV/0!</v>
      </c>
      <c r="T136" s="598" t="e">
        <f t="shared" si="341"/>
        <v>#DIV/0!</v>
      </c>
      <c r="U136" s="598" t="e">
        <f t="shared" si="341"/>
        <v>#DIV/0!</v>
      </c>
      <c r="V136" s="598" t="e">
        <f t="shared" si="341"/>
        <v>#DIV/0!</v>
      </c>
      <c r="W136" s="598" t="e">
        <f t="shared" si="341"/>
        <v>#DIV/0!</v>
      </c>
      <c r="X136" s="598" t="e">
        <f t="shared" si="341"/>
        <v>#DIV/0!</v>
      </c>
      <c r="Y136" s="598" t="e">
        <f t="shared" si="341"/>
        <v>#DIV/0!</v>
      </c>
      <c r="Z136" s="598" t="e">
        <f t="shared" si="341"/>
        <v>#DIV/0!</v>
      </c>
      <c r="AA136" s="598" t="e">
        <f t="shared" si="341"/>
        <v>#DIV/0!</v>
      </c>
      <c r="AB136" s="598" t="e">
        <f t="shared" si="341"/>
        <v>#DIV/0!</v>
      </c>
      <c r="AC136" s="598" t="e">
        <f t="shared" si="341"/>
        <v>#DIV/0!</v>
      </c>
      <c r="AD136" s="598" t="e">
        <f t="shared" si="341"/>
        <v>#DIV/0!</v>
      </c>
      <c r="AE136" s="598" t="e">
        <f t="shared" si="341"/>
        <v>#DIV/0!</v>
      </c>
      <c r="AF136" s="598" t="e">
        <f t="shared" si="341"/>
        <v>#DIV/0!</v>
      </c>
      <c r="AG136" s="598" t="e">
        <f t="shared" si="341"/>
        <v>#DIV/0!</v>
      </c>
      <c r="AH136" s="598" t="e">
        <f t="shared" si="341"/>
        <v>#DIV/0!</v>
      </c>
      <c r="AI136" s="598" t="e">
        <f t="shared" si="341"/>
        <v>#DIV/0!</v>
      </c>
      <c r="AJ136" s="598" t="e">
        <f t="shared" si="341"/>
        <v>#DIV/0!</v>
      </c>
      <c r="AK136" s="598" t="e">
        <f t="shared" si="341"/>
        <v>#N/A</v>
      </c>
    </row>
    <row r="137" spans="1:37" hidden="1" x14ac:dyDescent="0.2">
      <c r="A137" s="597" t="s">
        <v>801</v>
      </c>
      <c r="C137" s="598" t="e">
        <f>FDIST(C135,C128,C$129)</f>
        <v>#DIV/0!</v>
      </c>
      <c r="D137" s="598" t="e">
        <f t="shared" ref="D137:AK137" si="342">FDIST(D135,D128,D$129)</f>
        <v>#DIV/0!</v>
      </c>
      <c r="E137" s="598" t="e">
        <f t="shared" si="342"/>
        <v>#DIV/0!</v>
      </c>
      <c r="F137" s="598" t="e">
        <f t="shared" si="342"/>
        <v>#DIV/0!</v>
      </c>
      <c r="G137" s="598" t="e">
        <f t="shared" si="342"/>
        <v>#DIV/0!</v>
      </c>
      <c r="H137" s="598" t="e">
        <f t="shared" si="342"/>
        <v>#DIV/0!</v>
      </c>
      <c r="I137" s="598" t="e">
        <f t="shared" si="342"/>
        <v>#DIV/0!</v>
      </c>
      <c r="J137" s="598" t="e">
        <f t="shared" si="342"/>
        <v>#DIV/0!</v>
      </c>
      <c r="K137" s="598" t="e">
        <f t="shared" si="342"/>
        <v>#DIV/0!</v>
      </c>
      <c r="L137" s="598" t="e">
        <f t="shared" si="342"/>
        <v>#DIV/0!</v>
      </c>
      <c r="M137" s="598" t="e">
        <f t="shared" si="342"/>
        <v>#DIV/0!</v>
      </c>
      <c r="N137" s="598" t="e">
        <f t="shared" si="342"/>
        <v>#DIV/0!</v>
      </c>
      <c r="O137" s="598" t="e">
        <f t="shared" si="342"/>
        <v>#DIV/0!</v>
      </c>
      <c r="P137" s="598" t="e">
        <f t="shared" si="342"/>
        <v>#DIV/0!</v>
      </c>
      <c r="Q137" s="598" t="e">
        <f t="shared" si="342"/>
        <v>#DIV/0!</v>
      </c>
      <c r="R137" s="598" t="e">
        <f t="shared" si="342"/>
        <v>#DIV/0!</v>
      </c>
      <c r="S137" s="598" t="e">
        <f t="shared" si="342"/>
        <v>#DIV/0!</v>
      </c>
      <c r="T137" s="598" t="e">
        <f t="shared" si="342"/>
        <v>#DIV/0!</v>
      </c>
      <c r="U137" s="598" t="e">
        <f t="shared" si="342"/>
        <v>#DIV/0!</v>
      </c>
      <c r="V137" s="598" t="e">
        <f t="shared" si="342"/>
        <v>#DIV/0!</v>
      </c>
      <c r="W137" s="598" t="e">
        <f t="shared" si="342"/>
        <v>#DIV/0!</v>
      </c>
      <c r="X137" s="598" t="e">
        <f t="shared" si="342"/>
        <v>#DIV/0!</v>
      </c>
      <c r="Y137" s="598" t="e">
        <f t="shared" si="342"/>
        <v>#DIV/0!</v>
      </c>
      <c r="Z137" s="598" t="e">
        <f t="shared" si="342"/>
        <v>#DIV/0!</v>
      </c>
      <c r="AA137" s="598" t="e">
        <f t="shared" si="342"/>
        <v>#DIV/0!</v>
      </c>
      <c r="AB137" s="598" t="e">
        <f t="shared" si="342"/>
        <v>#DIV/0!</v>
      </c>
      <c r="AC137" s="598" t="e">
        <f t="shared" si="342"/>
        <v>#DIV/0!</v>
      </c>
      <c r="AD137" s="598" t="e">
        <f t="shared" si="342"/>
        <v>#DIV/0!</v>
      </c>
      <c r="AE137" s="598" t="e">
        <f t="shared" si="342"/>
        <v>#DIV/0!</v>
      </c>
      <c r="AF137" s="598" t="e">
        <f t="shared" si="342"/>
        <v>#DIV/0!</v>
      </c>
      <c r="AG137" s="598" t="e">
        <f t="shared" si="342"/>
        <v>#DIV/0!</v>
      </c>
      <c r="AH137" s="598" t="e">
        <f t="shared" si="342"/>
        <v>#DIV/0!</v>
      </c>
      <c r="AI137" s="598" t="e">
        <f t="shared" si="342"/>
        <v>#DIV/0!</v>
      </c>
      <c r="AJ137" s="598" t="e">
        <f t="shared" si="342"/>
        <v>#DIV/0!</v>
      </c>
      <c r="AK137" s="598" t="e">
        <f t="shared" si="342"/>
        <v>#N/A</v>
      </c>
    </row>
    <row r="138" spans="1:37" hidden="1" x14ac:dyDescent="0.2">
      <c r="A138" s="597" t="s">
        <v>802</v>
      </c>
      <c r="C138" s="598" t="e">
        <f>100*SQRT(C133)/AVERAGE(C31:C98)</f>
        <v>#DIV/0!</v>
      </c>
      <c r="D138" s="598" t="e">
        <f t="shared" ref="D138:AK138" si="343">100*SQRT(D133)/AVERAGE(D31:D98)</f>
        <v>#DIV/0!</v>
      </c>
      <c r="E138" s="598" t="e">
        <f t="shared" si="343"/>
        <v>#DIV/0!</v>
      </c>
      <c r="F138" s="598" t="e">
        <f t="shared" si="343"/>
        <v>#DIV/0!</v>
      </c>
      <c r="G138" s="598" t="e">
        <f t="shared" si="343"/>
        <v>#DIV/0!</v>
      </c>
      <c r="H138" s="598" t="e">
        <f t="shared" si="343"/>
        <v>#DIV/0!</v>
      </c>
      <c r="I138" s="598" t="e">
        <f t="shared" si="343"/>
        <v>#DIV/0!</v>
      </c>
      <c r="J138" s="598" t="e">
        <f t="shared" si="343"/>
        <v>#DIV/0!</v>
      </c>
      <c r="K138" s="598" t="e">
        <f t="shared" si="343"/>
        <v>#DIV/0!</v>
      </c>
      <c r="L138" s="598" t="e">
        <f t="shared" si="343"/>
        <v>#DIV/0!</v>
      </c>
      <c r="M138" s="598" t="e">
        <f t="shared" si="343"/>
        <v>#DIV/0!</v>
      </c>
      <c r="N138" s="598" t="e">
        <f t="shared" si="343"/>
        <v>#DIV/0!</v>
      </c>
      <c r="O138" s="598" t="e">
        <f t="shared" si="343"/>
        <v>#DIV/0!</v>
      </c>
      <c r="P138" s="598" t="e">
        <f t="shared" si="343"/>
        <v>#DIV/0!</v>
      </c>
      <c r="Q138" s="598" t="e">
        <f t="shared" si="343"/>
        <v>#DIV/0!</v>
      </c>
      <c r="R138" s="598" t="e">
        <f t="shared" si="343"/>
        <v>#DIV/0!</v>
      </c>
      <c r="S138" s="598" t="e">
        <f t="shared" si="343"/>
        <v>#DIV/0!</v>
      </c>
      <c r="T138" s="598" t="e">
        <f t="shared" si="343"/>
        <v>#DIV/0!</v>
      </c>
      <c r="U138" s="598" t="e">
        <f t="shared" si="343"/>
        <v>#DIV/0!</v>
      </c>
      <c r="V138" s="598" t="e">
        <f t="shared" si="343"/>
        <v>#DIV/0!</v>
      </c>
      <c r="W138" s="598" t="e">
        <f t="shared" si="343"/>
        <v>#DIV/0!</v>
      </c>
      <c r="X138" s="598" t="e">
        <f t="shared" si="343"/>
        <v>#DIV/0!</v>
      </c>
      <c r="Y138" s="598" t="e">
        <f t="shared" si="343"/>
        <v>#DIV/0!</v>
      </c>
      <c r="Z138" s="598" t="e">
        <f t="shared" si="343"/>
        <v>#DIV/0!</v>
      </c>
      <c r="AA138" s="598" t="e">
        <f t="shared" si="343"/>
        <v>#DIV/0!</v>
      </c>
      <c r="AB138" s="598" t="e">
        <f t="shared" si="343"/>
        <v>#DIV/0!</v>
      </c>
      <c r="AC138" s="598" t="e">
        <f t="shared" si="343"/>
        <v>#DIV/0!</v>
      </c>
      <c r="AD138" s="598" t="e">
        <f t="shared" si="343"/>
        <v>#DIV/0!</v>
      </c>
      <c r="AE138" s="598" t="e">
        <f t="shared" si="343"/>
        <v>#DIV/0!</v>
      </c>
      <c r="AF138" s="598" t="e">
        <f t="shared" si="343"/>
        <v>#DIV/0!</v>
      </c>
      <c r="AG138" s="598" t="e">
        <f t="shared" si="343"/>
        <v>#DIV/0!</v>
      </c>
      <c r="AH138" s="598" t="e">
        <f t="shared" si="343"/>
        <v>#DIV/0!</v>
      </c>
      <c r="AI138" s="598" t="e">
        <f t="shared" si="343"/>
        <v>#DIV/0!</v>
      </c>
      <c r="AJ138" s="598" t="e">
        <f t="shared" si="343"/>
        <v>#DIV/0!</v>
      </c>
      <c r="AK138" s="598" t="e">
        <f t="shared" si="343"/>
        <v>#N/A</v>
      </c>
    </row>
    <row r="139" spans="1:37" hidden="1" x14ac:dyDescent="0.2">
      <c r="A139" s="597" t="s">
        <v>803</v>
      </c>
      <c r="C139" s="614" t="e">
        <f t="shared" ref="C139" si="344">TINV(0.05,C129)*SQRT(2*C133/4)</f>
        <v>#DIV/0!</v>
      </c>
      <c r="D139" s="614" t="e">
        <f t="shared" ref="D139:AK139" si="345">TINV(0.05,D129)*SQRT(2*D133/4)</f>
        <v>#DIV/0!</v>
      </c>
      <c r="E139" s="614" t="e">
        <f t="shared" si="345"/>
        <v>#DIV/0!</v>
      </c>
      <c r="F139" s="614" t="e">
        <f t="shared" si="345"/>
        <v>#DIV/0!</v>
      </c>
      <c r="G139" s="614" t="e">
        <f t="shared" si="345"/>
        <v>#DIV/0!</v>
      </c>
      <c r="H139" s="614" t="e">
        <f t="shared" si="345"/>
        <v>#DIV/0!</v>
      </c>
      <c r="I139" s="614" t="e">
        <f t="shared" si="345"/>
        <v>#DIV/0!</v>
      </c>
      <c r="J139" s="614" t="e">
        <f t="shared" si="345"/>
        <v>#DIV/0!</v>
      </c>
      <c r="K139" s="614" t="e">
        <f t="shared" si="345"/>
        <v>#DIV/0!</v>
      </c>
      <c r="L139" s="614" t="e">
        <f t="shared" si="345"/>
        <v>#DIV/0!</v>
      </c>
      <c r="M139" s="614" t="e">
        <f t="shared" si="345"/>
        <v>#DIV/0!</v>
      </c>
      <c r="N139" s="614" t="e">
        <f t="shared" si="345"/>
        <v>#DIV/0!</v>
      </c>
      <c r="O139" s="614" t="e">
        <f t="shared" si="345"/>
        <v>#DIV/0!</v>
      </c>
      <c r="P139" s="614" t="e">
        <f t="shared" si="345"/>
        <v>#DIV/0!</v>
      </c>
      <c r="Q139" s="614" t="e">
        <f t="shared" si="345"/>
        <v>#DIV/0!</v>
      </c>
      <c r="R139" s="614" t="e">
        <f t="shared" si="345"/>
        <v>#DIV/0!</v>
      </c>
      <c r="S139" s="614" t="e">
        <f t="shared" si="345"/>
        <v>#DIV/0!</v>
      </c>
      <c r="T139" s="614" t="e">
        <f t="shared" si="345"/>
        <v>#DIV/0!</v>
      </c>
      <c r="U139" s="614" t="e">
        <f t="shared" si="345"/>
        <v>#DIV/0!</v>
      </c>
      <c r="V139" s="614" t="e">
        <f t="shared" si="345"/>
        <v>#DIV/0!</v>
      </c>
      <c r="W139" s="614" t="e">
        <f t="shared" si="345"/>
        <v>#DIV/0!</v>
      </c>
      <c r="X139" s="614" t="e">
        <f t="shared" si="345"/>
        <v>#DIV/0!</v>
      </c>
      <c r="Y139" s="614" t="e">
        <f t="shared" si="345"/>
        <v>#DIV/0!</v>
      </c>
      <c r="Z139" s="614" t="e">
        <f t="shared" si="345"/>
        <v>#DIV/0!</v>
      </c>
      <c r="AA139" s="614" t="e">
        <f t="shared" si="345"/>
        <v>#DIV/0!</v>
      </c>
      <c r="AB139" s="614" t="e">
        <f t="shared" si="345"/>
        <v>#DIV/0!</v>
      </c>
      <c r="AC139" s="614" t="e">
        <f t="shared" si="345"/>
        <v>#DIV/0!</v>
      </c>
      <c r="AD139" s="614" t="e">
        <f t="shared" si="345"/>
        <v>#DIV/0!</v>
      </c>
      <c r="AE139" s="614" t="e">
        <f t="shared" si="345"/>
        <v>#DIV/0!</v>
      </c>
      <c r="AF139" s="614" t="e">
        <f t="shared" si="345"/>
        <v>#DIV/0!</v>
      </c>
      <c r="AG139" s="614" t="e">
        <f t="shared" si="345"/>
        <v>#DIV/0!</v>
      </c>
      <c r="AH139" s="614" t="e">
        <f t="shared" si="345"/>
        <v>#DIV/0!</v>
      </c>
      <c r="AI139" s="614" t="e">
        <f t="shared" si="345"/>
        <v>#DIV/0!</v>
      </c>
      <c r="AJ139" s="614" t="e">
        <f t="shared" si="345"/>
        <v>#DIV/0!</v>
      </c>
      <c r="AK139" s="614" t="e">
        <f t="shared" si="345"/>
        <v>#N/A</v>
      </c>
    </row>
  </sheetData>
  <sheetProtection password="998F" sheet="1" objects="1" scenarios="1" selectLockedCells="1"/>
  <conditionalFormatting sqref="C9:AK28">
    <cfRule type="cellIs" dxfId="120" priority="1" operator="between">
      <formula>-10000</formula>
      <formula>100000</formula>
    </cfRule>
  </conditionalFormatting>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AC76"/>
  <sheetViews>
    <sheetView zoomScaleNormal="100" workbookViewId="0">
      <selection activeCell="K32" sqref="K32"/>
    </sheetView>
  </sheetViews>
  <sheetFormatPr defaultRowHeight="16.5" x14ac:dyDescent="0.25"/>
  <cols>
    <col min="1" max="1" width="10.140625" style="672" customWidth="1"/>
    <col min="2" max="2" width="12.7109375" style="672" customWidth="1"/>
    <col min="3" max="3" width="14.85546875" style="667" customWidth="1"/>
    <col min="4" max="7" width="3.5703125" style="618" customWidth="1"/>
    <col min="8" max="19" width="3.42578125" style="618" customWidth="1"/>
    <col min="20" max="20" width="5.85546875" style="618" customWidth="1"/>
    <col min="21" max="21" width="11.5703125" style="649" hidden="1" customWidth="1"/>
    <col min="22" max="22" width="14.85546875" style="620" hidden="1" customWidth="1"/>
    <col min="23" max="23" width="17.140625" style="621" customWidth="1"/>
    <col min="24" max="27" width="8.7109375" style="621" customWidth="1"/>
    <col min="28" max="16384" width="9.140625" style="621"/>
  </cols>
  <sheetData>
    <row r="1" spans="1:22" ht="17.25" thickBot="1" x14ac:dyDescent="0.3">
      <c r="A1" s="615" t="str">
        <f>Fältkort!H91</f>
        <v>HUG066</v>
      </c>
      <c r="B1" s="616" t="str">
        <f>Fältkort!H86</f>
        <v>HU-1433</v>
      </c>
      <c r="C1" s="617" t="s">
        <v>138</v>
      </c>
      <c r="D1" s="988">
        <v>1</v>
      </c>
      <c r="E1" s="989"/>
      <c r="F1" s="989"/>
      <c r="G1" s="990"/>
      <c r="H1" s="988">
        <v>2</v>
      </c>
      <c r="I1" s="989"/>
      <c r="J1" s="989"/>
      <c r="K1" s="990"/>
      <c r="L1" s="988">
        <v>3</v>
      </c>
      <c r="M1" s="989"/>
      <c r="N1" s="989"/>
      <c r="O1" s="990"/>
      <c r="P1" s="988">
        <v>4</v>
      </c>
      <c r="Q1" s="989"/>
      <c r="R1" s="989"/>
      <c r="S1" s="990"/>
      <c r="U1" s="619"/>
    </row>
    <row r="2" spans="1:22" x14ac:dyDescent="0.25">
      <c r="A2" s="622" t="s">
        <v>1042</v>
      </c>
      <c r="B2" s="623"/>
      <c r="C2" s="624"/>
      <c r="D2" s="991">
        <v>41796</v>
      </c>
      <c r="E2" s="992"/>
      <c r="F2" s="992"/>
      <c r="G2" s="993"/>
      <c r="H2" s="991"/>
      <c r="I2" s="992"/>
      <c r="J2" s="992"/>
      <c r="K2" s="993"/>
      <c r="L2" s="996"/>
      <c r="M2" s="997"/>
      <c r="N2" s="997"/>
      <c r="O2" s="998"/>
      <c r="P2" s="991"/>
      <c r="Q2" s="992"/>
      <c r="R2" s="992"/>
      <c r="S2" s="993"/>
      <c r="U2" s="625" t="s">
        <v>61</v>
      </c>
    </row>
    <row r="3" spans="1:22" x14ac:dyDescent="0.25">
      <c r="A3" s="626" t="s">
        <v>416</v>
      </c>
      <c r="B3" s="627"/>
      <c r="C3" s="628" t="s">
        <v>417</v>
      </c>
      <c r="D3" s="994" t="s">
        <v>1455</v>
      </c>
      <c r="E3" s="995"/>
      <c r="F3" s="994" t="s">
        <v>1456</v>
      </c>
      <c r="G3" s="995"/>
      <c r="H3" s="994"/>
      <c r="I3" s="995"/>
      <c r="J3" s="994"/>
      <c r="K3" s="995"/>
      <c r="L3" s="994"/>
      <c r="M3" s="995"/>
      <c r="N3" s="994"/>
      <c r="O3" s="995"/>
      <c r="P3" s="999"/>
      <c r="Q3" s="999"/>
      <c r="R3" s="999"/>
      <c r="S3" s="999"/>
      <c r="U3" s="625" t="s">
        <v>59</v>
      </c>
    </row>
    <row r="4" spans="1:22" x14ac:dyDescent="0.25">
      <c r="A4" s="626" t="s">
        <v>48</v>
      </c>
      <c r="B4" s="627"/>
      <c r="C4" s="629"/>
      <c r="D4" s="972" t="s">
        <v>1457</v>
      </c>
      <c r="E4" s="974"/>
      <c r="F4" s="974"/>
      <c r="G4" s="973"/>
      <c r="H4" s="972"/>
      <c r="I4" s="974"/>
      <c r="J4" s="974"/>
      <c r="K4" s="973"/>
      <c r="L4" s="972"/>
      <c r="M4" s="974"/>
      <c r="N4" s="974"/>
      <c r="O4" s="973"/>
      <c r="P4" s="972"/>
      <c r="Q4" s="974"/>
      <c r="R4" s="974"/>
      <c r="S4" s="973"/>
      <c r="U4" s="625" t="s">
        <v>60</v>
      </c>
    </row>
    <row r="5" spans="1:22" s="630" customFormat="1" x14ac:dyDescent="0.25">
      <c r="A5" s="626" t="s">
        <v>137</v>
      </c>
      <c r="B5" s="627"/>
      <c r="C5" s="629"/>
      <c r="D5" s="976" t="s">
        <v>1462</v>
      </c>
      <c r="E5" s="977"/>
      <c r="F5" s="977"/>
      <c r="G5" s="978"/>
      <c r="H5" s="972"/>
      <c r="I5" s="974"/>
      <c r="J5" s="974"/>
      <c r="K5" s="973"/>
      <c r="L5" s="972"/>
      <c r="M5" s="974"/>
      <c r="N5" s="974"/>
      <c r="O5" s="973"/>
      <c r="P5" s="972"/>
      <c r="Q5" s="974"/>
      <c r="R5" s="974"/>
      <c r="S5" s="973"/>
      <c r="U5" s="631" t="s">
        <v>62</v>
      </c>
      <c r="V5" s="620"/>
    </row>
    <row r="6" spans="1:22" s="633" customFormat="1" ht="16.5" customHeight="1" x14ac:dyDescent="0.2">
      <c r="A6" s="632" t="s">
        <v>49</v>
      </c>
      <c r="B6" s="628"/>
      <c r="C6" s="628"/>
      <c r="D6" s="982" t="s">
        <v>70</v>
      </c>
      <c r="E6" s="983"/>
      <c r="F6" s="983"/>
      <c r="G6" s="984"/>
      <c r="H6" s="982"/>
      <c r="I6" s="983"/>
      <c r="J6" s="983"/>
      <c r="K6" s="984"/>
      <c r="L6" s="982"/>
      <c r="M6" s="983"/>
      <c r="N6" s="983"/>
      <c r="O6" s="984"/>
      <c r="P6" s="982"/>
      <c r="Q6" s="983"/>
      <c r="R6" s="983"/>
      <c r="S6" s="984"/>
      <c r="U6" s="631" t="s">
        <v>399</v>
      </c>
      <c r="V6" s="620"/>
    </row>
    <row r="7" spans="1:22" s="633" customFormat="1" ht="15.75" customHeight="1" x14ac:dyDescent="0.2">
      <c r="A7" s="632" t="s">
        <v>109</v>
      </c>
      <c r="B7" s="634"/>
      <c r="C7" s="634"/>
      <c r="D7" s="979" t="s">
        <v>1458</v>
      </c>
      <c r="E7" s="980"/>
      <c r="F7" s="980"/>
      <c r="G7" s="981"/>
      <c r="H7" s="979"/>
      <c r="I7" s="980"/>
      <c r="J7" s="980"/>
      <c r="K7" s="981"/>
      <c r="L7" s="979"/>
      <c r="M7" s="980"/>
      <c r="N7" s="980"/>
      <c r="O7" s="981"/>
      <c r="P7" s="979"/>
      <c r="Q7" s="980"/>
      <c r="R7" s="980"/>
      <c r="S7" s="981"/>
      <c r="U7" s="631" t="s">
        <v>400</v>
      </c>
      <c r="V7" s="620"/>
    </row>
    <row r="8" spans="1:22" ht="16.5" customHeight="1" x14ac:dyDescent="0.25">
      <c r="A8" s="635" t="s">
        <v>292</v>
      </c>
      <c r="B8" s="634"/>
      <c r="C8" s="634"/>
      <c r="D8" s="985">
        <v>200</v>
      </c>
      <c r="E8" s="986"/>
      <c r="F8" s="986"/>
      <c r="G8" s="987"/>
      <c r="H8" s="985"/>
      <c r="I8" s="986"/>
      <c r="J8" s="986"/>
      <c r="K8" s="987"/>
      <c r="L8" s="985"/>
      <c r="M8" s="986"/>
      <c r="N8" s="986"/>
      <c r="O8" s="987"/>
      <c r="P8" s="1001"/>
      <c r="Q8" s="1001"/>
      <c r="R8" s="1001"/>
      <c r="S8" s="1001"/>
      <c r="U8" s="631" t="s">
        <v>401</v>
      </c>
    </row>
    <row r="9" spans="1:22" s="633" customFormat="1" ht="16.5" customHeight="1" x14ac:dyDescent="0.25">
      <c r="A9" s="626" t="s">
        <v>410</v>
      </c>
      <c r="B9" s="627"/>
      <c r="C9" s="636" t="s">
        <v>411</v>
      </c>
      <c r="D9" s="972">
        <v>2.5</v>
      </c>
      <c r="E9" s="973"/>
      <c r="F9" s="972">
        <v>2.6</v>
      </c>
      <c r="G9" s="973"/>
      <c r="H9" s="972"/>
      <c r="I9" s="973"/>
      <c r="J9" s="972"/>
      <c r="K9" s="973"/>
      <c r="L9" s="972"/>
      <c r="M9" s="973"/>
      <c r="N9" s="972"/>
      <c r="O9" s="973"/>
      <c r="P9" s="975"/>
      <c r="Q9" s="975"/>
      <c r="R9" s="975"/>
      <c r="S9" s="975"/>
      <c r="U9" s="625" t="s">
        <v>402</v>
      </c>
      <c r="V9" s="620"/>
    </row>
    <row r="10" spans="1:22" s="633" customFormat="1" ht="16.5" customHeight="1" x14ac:dyDescent="0.25">
      <c r="A10" s="626" t="s">
        <v>412</v>
      </c>
      <c r="B10" s="627"/>
      <c r="C10" s="636" t="s">
        <v>413</v>
      </c>
      <c r="D10" s="972">
        <v>20</v>
      </c>
      <c r="E10" s="973"/>
      <c r="F10" s="972">
        <v>60</v>
      </c>
      <c r="G10" s="973"/>
      <c r="H10" s="972"/>
      <c r="I10" s="973"/>
      <c r="J10" s="972"/>
      <c r="K10" s="973"/>
      <c r="L10" s="972"/>
      <c r="M10" s="973"/>
      <c r="N10" s="972"/>
      <c r="O10" s="973"/>
      <c r="P10" s="972"/>
      <c r="Q10" s="973"/>
      <c r="R10" s="972"/>
      <c r="S10" s="973"/>
      <c r="U10" s="625" t="s">
        <v>403</v>
      </c>
      <c r="V10" s="620" t="s">
        <v>144</v>
      </c>
    </row>
    <row r="11" spans="1:22" s="633" customFormat="1" x14ac:dyDescent="0.25">
      <c r="A11" s="626" t="s">
        <v>414</v>
      </c>
      <c r="B11" s="627"/>
      <c r="C11" s="636" t="s">
        <v>415</v>
      </c>
      <c r="D11" s="966" t="s">
        <v>308</v>
      </c>
      <c r="E11" s="968"/>
      <c r="F11" s="972">
        <v>1</v>
      </c>
      <c r="G11" s="973"/>
      <c r="H11" s="966"/>
      <c r="I11" s="968"/>
      <c r="J11" s="1002"/>
      <c r="K11" s="1003"/>
      <c r="L11" s="966"/>
      <c r="M11" s="968"/>
      <c r="N11" s="1002"/>
      <c r="O11" s="1003"/>
      <c r="P11" s="966"/>
      <c r="Q11" s="968"/>
      <c r="R11" s="1000"/>
      <c r="S11" s="1000"/>
      <c r="U11" s="625" t="s">
        <v>404</v>
      </c>
      <c r="V11" s="620" t="s">
        <v>145</v>
      </c>
    </row>
    <row r="12" spans="1:22" x14ac:dyDescent="0.25">
      <c r="A12" s="626" t="s">
        <v>291</v>
      </c>
      <c r="B12" s="627"/>
      <c r="C12" s="629"/>
      <c r="D12" s="972">
        <v>30</v>
      </c>
      <c r="E12" s="974"/>
      <c r="F12" s="974"/>
      <c r="G12" s="973"/>
      <c r="H12" s="972"/>
      <c r="I12" s="974"/>
      <c r="J12" s="974"/>
      <c r="K12" s="973"/>
      <c r="L12" s="972"/>
      <c r="M12" s="974"/>
      <c r="N12" s="974"/>
      <c r="O12" s="973"/>
      <c r="P12" s="975"/>
      <c r="Q12" s="975"/>
      <c r="R12" s="975"/>
      <c r="S12" s="975"/>
      <c r="U12" s="631" t="s">
        <v>405</v>
      </c>
      <c r="V12" s="620" t="s">
        <v>146</v>
      </c>
    </row>
    <row r="13" spans="1:22" x14ac:dyDescent="0.25">
      <c r="A13" s="626" t="s">
        <v>50</v>
      </c>
      <c r="B13" s="627"/>
      <c r="C13" s="629"/>
      <c r="D13" s="972">
        <v>18</v>
      </c>
      <c r="E13" s="974"/>
      <c r="F13" s="974"/>
      <c r="G13" s="973"/>
      <c r="H13" s="972"/>
      <c r="I13" s="974"/>
      <c r="J13" s="974"/>
      <c r="K13" s="973"/>
      <c r="L13" s="972"/>
      <c r="M13" s="974"/>
      <c r="N13" s="974"/>
      <c r="O13" s="973"/>
      <c r="P13" s="975"/>
      <c r="Q13" s="975"/>
      <c r="R13" s="975"/>
      <c r="S13" s="975"/>
      <c r="U13" s="625" t="s">
        <v>63</v>
      </c>
    </row>
    <row r="14" spans="1:22" x14ac:dyDescent="0.25">
      <c r="A14" s="626" t="s">
        <v>51</v>
      </c>
      <c r="B14" s="627"/>
      <c r="C14" s="629"/>
      <c r="D14" s="966" t="s">
        <v>143</v>
      </c>
      <c r="E14" s="967"/>
      <c r="F14" s="967"/>
      <c r="G14" s="968"/>
      <c r="H14" s="966"/>
      <c r="I14" s="967"/>
      <c r="J14" s="967"/>
      <c r="K14" s="968"/>
      <c r="L14" s="966"/>
      <c r="M14" s="967"/>
      <c r="N14" s="967"/>
      <c r="O14" s="968"/>
      <c r="P14" s="966"/>
      <c r="Q14" s="967"/>
      <c r="R14" s="967"/>
      <c r="S14" s="968"/>
      <c r="U14" s="625" t="s">
        <v>64</v>
      </c>
      <c r="V14" s="620" t="s">
        <v>142</v>
      </c>
    </row>
    <row r="15" spans="1:22" x14ac:dyDescent="0.25">
      <c r="A15" s="626" t="s">
        <v>280</v>
      </c>
      <c r="B15" s="627"/>
      <c r="C15" s="629"/>
      <c r="D15" s="966" t="s">
        <v>140</v>
      </c>
      <c r="E15" s="967"/>
      <c r="F15" s="967"/>
      <c r="G15" s="968"/>
      <c r="H15" s="966"/>
      <c r="I15" s="967"/>
      <c r="J15" s="967"/>
      <c r="K15" s="968"/>
      <c r="L15" s="966"/>
      <c r="M15" s="967"/>
      <c r="N15" s="967"/>
      <c r="O15" s="968"/>
      <c r="P15" s="966"/>
      <c r="Q15" s="967"/>
      <c r="R15" s="967"/>
      <c r="S15" s="968"/>
      <c r="U15" s="625" t="s">
        <v>65</v>
      </c>
      <c r="V15" s="620" t="s">
        <v>140</v>
      </c>
    </row>
    <row r="16" spans="1:22" x14ac:dyDescent="0.25">
      <c r="A16" s="637" t="s">
        <v>52</v>
      </c>
      <c r="B16" s="638"/>
      <c r="C16" s="639"/>
      <c r="D16" s="969" t="s">
        <v>277</v>
      </c>
      <c r="E16" s="970"/>
      <c r="F16" s="970"/>
      <c r="G16" s="971"/>
      <c r="H16" s="969"/>
      <c r="I16" s="970"/>
      <c r="J16" s="970"/>
      <c r="K16" s="971"/>
      <c r="L16" s="969"/>
      <c r="M16" s="970"/>
      <c r="N16" s="970"/>
      <c r="O16" s="971"/>
      <c r="P16" s="969"/>
      <c r="Q16" s="970"/>
      <c r="R16" s="970"/>
      <c r="S16" s="971"/>
      <c r="U16" s="625" t="s">
        <v>66</v>
      </c>
      <c r="V16" s="620" t="s">
        <v>143</v>
      </c>
    </row>
    <row r="17" spans="1:22" ht="13.5" customHeight="1" x14ac:dyDescent="0.25">
      <c r="A17" s="965" t="s">
        <v>136</v>
      </c>
      <c r="B17" s="965"/>
      <c r="C17" s="965"/>
      <c r="D17" s="965"/>
      <c r="E17" s="965"/>
      <c r="F17" s="965"/>
      <c r="G17" s="965"/>
      <c r="H17" s="965"/>
      <c r="I17" s="965"/>
      <c r="J17" s="965"/>
      <c r="K17" s="965"/>
      <c r="L17" s="965"/>
      <c r="M17" s="965"/>
      <c r="N17" s="965"/>
      <c r="O17" s="965"/>
      <c r="P17" s="965"/>
      <c r="Q17" s="965"/>
      <c r="R17" s="965"/>
      <c r="S17" s="965"/>
      <c r="U17" s="625" t="s">
        <v>67</v>
      </c>
    </row>
    <row r="18" spans="1:22" ht="16.5" customHeight="1" x14ac:dyDescent="0.25">
      <c r="A18" s="640" t="s">
        <v>53</v>
      </c>
      <c r="B18" s="641"/>
      <c r="C18" s="642" t="s">
        <v>1415</v>
      </c>
      <c r="D18" s="1004">
        <v>37</v>
      </c>
      <c r="E18" s="1004"/>
      <c r="F18" s="643">
        <v>35</v>
      </c>
      <c r="G18" s="643">
        <v>39</v>
      </c>
      <c r="H18" s="1004"/>
      <c r="I18" s="1004"/>
      <c r="J18" s="643"/>
      <c r="K18" s="643"/>
      <c r="L18" s="1004"/>
      <c r="M18" s="1004"/>
      <c r="N18" s="643"/>
      <c r="O18" s="643"/>
      <c r="P18" s="1004"/>
      <c r="Q18" s="1004"/>
      <c r="R18" s="643"/>
      <c r="S18" s="643"/>
      <c r="U18" s="625" t="s">
        <v>68</v>
      </c>
      <c r="V18" s="620" t="s">
        <v>277</v>
      </c>
    </row>
    <row r="19" spans="1:22" ht="16.5" customHeight="1" x14ac:dyDescent="0.25">
      <c r="A19" s="626" t="s">
        <v>54</v>
      </c>
      <c r="B19" s="627"/>
      <c r="C19" s="644" t="s">
        <v>55</v>
      </c>
      <c r="D19" s="972">
        <v>50</v>
      </c>
      <c r="E19" s="973"/>
      <c r="F19" s="972">
        <v>100</v>
      </c>
      <c r="G19" s="973"/>
      <c r="H19" s="972"/>
      <c r="I19" s="973"/>
      <c r="J19" s="972"/>
      <c r="K19" s="973"/>
      <c r="L19" s="972"/>
      <c r="M19" s="973"/>
      <c r="N19" s="972"/>
      <c r="O19" s="973"/>
      <c r="P19" s="975"/>
      <c r="Q19" s="975"/>
      <c r="R19" s="975"/>
      <c r="S19" s="975"/>
      <c r="U19" s="625" t="s">
        <v>605</v>
      </c>
      <c r="V19" s="620" t="s">
        <v>278</v>
      </c>
    </row>
    <row r="20" spans="1:22" x14ac:dyDescent="0.25">
      <c r="A20" s="626" t="s">
        <v>56</v>
      </c>
      <c r="B20" s="627"/>
      <c r="C20" s="629"/>
      <c r="D20" s="966" t="s">
        <v>141</v>
      </c>
      <c r="E20" s="967"/>
      <c r="F20" s="967"/>
      <c r="G20" s="968"/>
      <c r="H20" s="966"/>
      <c r="I20" s="967"/>
      <c r="J20" s="967"/>
      <c r="K20" s="968"/>
      <c r="L20" s="966"/>
      <c r="M20" s="967"/>
      <c r="N20" s="967"/>
      <c r="O20" s="968"/>
      <c r="P20" s="966"/>
      <c r="Q20" s="967"/>
      <c r="R20" s="967"/>
      <c r="S20" s="968"/>
      <c r="U20" s="625" t="s">
        <v>69</v>
      </c>
      <c r="V20" s="620" t="s">
        <v>279</v>
      </c>
    </row>
    <row r="21" spans="1:22" x14ac:dyDescent="0.25">
      <c r="A21" s="626" t="s">
        <v>57</v>
      </c>
      <c r="B21" s="627"/>
      <c r="C21" s="629"/>
      <c r="D21" s="966" t="s">
        <v>146</v>
      </c>
      <c r="E21" s="967"/>
      <c r="F21" s="967"/>
      <c r="G21" s="968"/>
      <c r="H21" s="966"/>
      <c r="I21" s="967"/>
      <c r="J21" s="967"/>
      <c r="K21" s="968"/>
      <c r="L21" s="966"/>
      <c r="M21" s="967"/>
      <c r="N21" s="967"/>
      <c r="O21" s="968"/>
      <c r="P21" s="966"/>
      <c r="Q21" s="967"/>
      <c r="R21" s="967"/>
      <c r="S21" s="968"/>
      <c r="U21" s="625" t="s">
        <v>70</v>
      </c>
      <c r="V21" s="620" t="s">
        <v>139</v>
      </c>
    </row>
    <row r="22" spans="1:22" ht="16.5" customHeight="1" x14ac:dyDescent="0.25">
      <c r="A22" s="626" t="s">
        <v>170</v>
      </c>
      <c r="B22" s="627"/>
      <c r="C22" s="629"/>
      <c r="D22" s="972"/>
      <c r="E22" s="974"/>
      <c r="F22" s="974"/>
      <c r="G22" s="973"/>
      <c r="H22" s="972"/>
      <c r="I22" s="974"/>
      <c r="J22" s="974"/>
      <c r="K22" s="973"/>
      <c r="L22" s="972"/>
      <c r="M22" s="974"/>
      <c r="N22" s="974"/>
      <c r="O22" s="973"/>
      <c r="P22" s="975"/>
      <c r="Q22" s="975"/>
      <c r="R22" s="975"/>
      <c r="S22" s="975"/>
      <c r="U22" s="625" t="s">
        <v>633</v>
      </c>
      <c r="V22" s="620" t="s">
        <v>140</v>
      </c>
    </row>
    <row r="23" spans="1:22" s="645" customFormat="1" x14ac:dyDescent="0.25">
      <c r="A23" s="626" t="s">
        <v>58</v>
      </c>
      <c r="B23" s="627"/>
      <c r="C23" s="629"/>
      <c r="D23" s="972"/>
      <c r="E23" s="974"/>
      <c r="F23" s="974"/>
      <c r="G23" s="973"/>
      <c r="H23" s="972"/>
      <c r="I23" s="974"/>
      <c r="J23" s="974"/>
      <c r="K23" s="973"/>
      <c r="L23" s="972"/>
      <c r="M23" s="974"/>
      <c r="N23" s="974"/>
      <c r="O23" s="973"/>
      <c r="P23" s="975"/>
      <c r="Q23" s="975"/>
      <c r="R23" s="975"/>
      <c r="S23" s="975"/>
      <c r="U23" s="625" t="s">
        <v>71</v>
      </c>
      <c r="V23" s="620" t="s">
        <v>141</v>
      </c>
    </row>
    <row r="24" spans="1:22" s="650" customFormat="1" ht="14.25" customHeight="1" x14ac:dyDescent="0.25">
      <c r="A24" s="646" t="s">
        <v>481</v>
      </c>
      <c r="B24" s="647"/>
      <c r="C24" s="648"/>
      <c r="D24" s="648"/>
      <c r="E24" s="648"/>
      <c r="F24" s="648"/>
      <c r="G24" s="648"/>
      <c r="H24" s="648"/>
      <c r="I24" s="648"/>
      <c r="J24" s="648"/>
      <c r="K24" s="648"/>
      <c r="L24" s="648"/>
      <c r="M24" s="648"/>
      <c r="N24" s="648"/>
      <c r="O24" s="648"/>
      <c r="P24" s="648"/>
      <c r="Q24" s="648"/>
      <c r="R24" s="648"/>
      <c r="S24" s="648"/>
      <c r="T24" s="649"/>
      <c r="U24" s="631" t="s">
        <v>72</v>
      </c>
      <c r="V24" s="620"/>
    </row>
    <row r="25" spans="1:22" s="650" customFormat="1" ht="14.25" customHeight="1" x14ac:dyDescent="0.25">
      <c r="A25" s="651" t="s">
        <v>734</v>
      </c>
      <c r="B25" s="652"/>
      <c r="C25" s="648"/>
      <c r="D25" s="651" t="s">
        <v>733</v>
      </c>
      <c r="E25" s="653"/>
      <c r="F25" s="648"/>
      <c r="G25" s="648"/>
      <c r="H25" s="648"/>
      <c r="I25" s="648"/>
      <c r="J25" s="648"/>
      <c r="K25" s="648"/>
      <c r="L25" s="648"/>
      <c r="M25" s="648"/>
      <c r="N25" s="648"/>
      <c r="O25" s="648"/>
      <c r="P25" s="648"/>
      <c r="Q25" s="648"/>
      <c r="R25" s="648"/>
      <c r="S25" s="648"/>
      <c r="T25" s="649"/>
      <c r="U25" s="631" t="s">
        <v>73</v>
      </c>
      <c r="V25" s="591"/>
    </row>
    <row r="26" spans="1:22" s="591" customFormat="1" ht="12" customHeight="1" x14ac:dyDescent="0.2">
      <c r="A26" s="654" t="s">
        <v>482</v>
      </c>
      <c r="B26" s="655" t="s">
        <v>483</v>
      </c>
      <c r="D26" s="656" t="s">
        <v>482</v>
      </c>
      <c r="F26" s="655" t="s">
        <v>505</v>
      </c>
      <c r="U26" s="657"/>
    </row>
    <row r="27" spans="1:22" s="591" customFormat="1" ht="11.25" customHeight="1" x14ac:dyDescent="0.2">
      <c r="A27" s="658">
        <v>10</v>
      </c>
      <c r="B27" s="655" t="s">
        <v>738</v>
      </c>
      <c r="D27" s="593">
        <v>10</v>
      </c>
      <c r="F27" s="657" t="s">
        <v>506</v>
      </c>
      <c r="U27" s="657" t="s">
        <v>133</v>
      </c>
    </row>
    <row r="28" spans="1:22" s="591" customFormat="1" ht="11.25" customHeight="1" x14ac:dyDescent="0.2">
      <c r="A28" s="658">
        <v>11</v>
      </c>
      <c r="B28" s="655" t="s">
        <v>485</v>
      </c>
      <c r="D28" s="593">
        <v>11</v>
      </c>
      <c r="F28" s="655" t="s">
        <v>507</v>
      </c>
      <c r="U28" s="657" t="s">
        <v>379</v>
      </c>
    </row>
    <row r="29" spans="1:22" s="591" customFormat="1" ht="11.25" customHeight="1" x14ac:dyDescent="0.2">
      <c r="A29" s="658">
        <v>12</v>
      </c>
      <c r="B29" s="655" t="s">
        <v>486</v>
      </c>
      <c r="D29" s="593">
        <v>12</v>
      </c>
      <c r="F29" s="655" t="s">
        <v>508</v>
      </c>
      <c r="U29" s="657" t="s">
        <v>380</v>
      </c>
    </row>
    <row r="30" spans="1:22" s="591" customFormat="1" ht="11.25" customHeight="1" x14ac:dyDescent="0.2">
      <c r="A30" s="658">
        <v>20</v>
      </c>
      <c r="B30" s="655" t="s">
        <v>487</v>
      </c>
      <c r="D30" s="593"/>
      <c r="F30" s="655" t="s">
        <v>484</v>
      </c>
      <c r="U30" s="657" t="s">
        <v>381</v>
      </c>
    </row>
    <row r="31" spans="1:22" s="591" customFormat="1" ht="11.25" customHeight="1" x14ac:dyDescent="0.2">
      <c r="A31" s="658">
        <v>21</v>
      </c>
      <c r="B31" s="655" t="s">
        <v>488</v>
      </c>
      <c r="U31" s="657" t="s">
        <v>382</v>
      </c>
    </row>
    <row r="32" spans="1:22" s="591" customFormat="1" ht="11.25" customHeight="1" x14ac:dyDescent="0.2">
      <c r="A32" s="658">
        <v>22</v>
      </c>
      <c r="B32" s="655" t="s">
        <v>489</v>
      </c>
      <c r="U32" s="657" t="s">
        <v>383</v>
      </c>
    </row>
    <row r="33" spans="1:21" s="591" customFormat="1" ht="11.25" customHeight="1" x14ac:dyDescent="0.2">
      <c r="A33" s="658">
        <v>30</v>
      </c>
      <c r="B33" s="655" t="s">
        <v>490</v>
      </c>
      <c r="D33" s="593">
        <v>30</v>
      </c>
      <c r="F33" s="655" t="s">
        <v>509</v>
      </c>
      <c r="U33" s="657" t="s">
        <v>384</v>
      </c>
    </row>
    <row r="34" spans="1:21" s="591" customFormat="1" ht="11.25" customHeight="1" x14ac:dyDescent="0.2">
      <c r="A34" s="658">
        <v>31</v>
      </c>
      <c r="B34" s="655" t="s">
        <v>491</v>
      </c>
      <c r="D34" s="593">
        <v>31</v>
      </c>
      <c r="F34" s="655" t="s">
        <v>510</v>
      </c>
      <c r="U34" s="657" t="s">
        <v>385</v>
      </c>
    </row>
    <row r="35" spans="1:21" s="591" customFormat="1" ht="11.25" customHeight="1" x14ac:dyDescent="0.2">
      <c r="A35" s="658">
        <v>32</v>
      </c>
      <c r="B35" s="657" t="s">
        <v>492</v>
      </c>
      <c r="D35" s="593">
        <v>32</v>
      </c>
      <c r="F35" s="655" t="s">
        <v>511</v>
      </c>
      <c r="U35" s="657" t="s">
        <v>308</v>
      </c>
    </row>
    <row r="36" spans="1:21" s="591" customFormat="1" ht="11.25" customHeight="1" x14ac:dyDescent="0.2">
      <c r="A36" s="658">
        <v>37</v>
      </c>
      <c r="B36" s="655" t="s">
        <v>495</v>
      </c>
      <c r="D36" s="593"/>
      <c r="F36" s="655" t="s">
        <v>484</v>
      </c>
      <c r="U36" s="657" t="s">
        <v>386</v>
      </c>
    </row>
    <row r="37" spans="1:21" s="591" customFormat="1" ht="11.25" customHeight="1" x14ac:dyDescent="0.2">
      <c r="A37" s="658">
        <v>39</v>
      </c>
      <c r="B37" s="655" t="s">
        <v>496</v>
      </c>
      <c r="U37" s="657" t="s">
        <v>387</v>
      </c>
    </row>
    <row r="38" spans="1:21" s="591" customFormat="1" ht="11.25" customHeight="1" x14ac:dyDescent="0.2">
      <c r="A38" s="658">
        <v>41</v>
      </c>
      <c r="B38" s="655" t="s">
        <v>493</v>
      </c>
      <c r="D38" s="593"/>
      <c r="F38" s="655"/>
      <c r="U38" s="657" t="s">
        <v>388</v>
      </c>
    </row>
    <row r="39" spans="1:21" s="591" customFormat="1" ht="11.25" customHeight="1" x14ac:dyDescent="0.2">
      <c r="A39" s="658">
        <v>45</v>
      </c>
      <c r="B39" s="655" t="s">
        <v>494</v>
      </c>
      <c r="U39" s="657" t="s">
        <v>389</v>
      </c>
    </row>
    <row r="40" spans="1:21" s="591" customFormat="1" ht="11.25" customHeight="1" x14ac:dyDescent="0.2">
      <c r="A40" s="658">
        <v>49</v>
      </c>
      <c r="B40" s="655" t="s">
        <v>497</v>
      </c>
      <c r="D40" s="593">
        <v>50</v>
      </c>
      <c r="F40" s="655" t="s">
        <v>735</v>
      </c>
      <c r="U40" s="657" t="s">
        <v>390</v>
      </c>
    </row>
    <row r="41" spans="1:21" s="591" customFormat="1" ht="11.25" customHeight="1" x14ac:dyDescent="0.2">
      <c r="A41" s="658">
        <v>51</v>
      </c>
      <c r="B41" s="655" t="s">
        <v>498</v>
      </c>
      <c r="D41" s="593">
        <v>51</v>
      </c>
      <c r="F41" s="655" t="s">
        <v>736</v>
      </c>
      <c r="U41" s="657" t="s">
        <v>391</v>
      </c>
    </row>
    <row r="42" spans="1:21" s="591" customFormat="1" ht="11.25" customHeight="1" x14ac:dyDescent="0.2">
      <c r="A42" s="658">
        <v>55</v>
      </c>
      <c r="B42" s="655" t="s">
        <v>499</v>
      </c>
      <c r="D42" s="593">
        <v>55</v>
      </c>
      <c r="F42" s="655" t="s">
        <v>737</v>
      </c>
      <c r="U42" s="657" t="s">
        <v>392</v>
      </c>
    </row>
    <row r="43" spans="1:21" s="591" customFormat="1" ht="11.25" customHeight="1" x14ac:dyDescent="0.2">
      <c r="A43" s="658">
        <v>59</v>
      </c>
      <c r="B43" s="655" t="s">
        <v>500</v>
      </c>
      <c r="D43" s="593">
        <v>59</v>
      </c>
      <c r="F43" s="655" t="s">
        <v>512</v>
      </c>
      <c r="H43" s="657"/>
      <c r="I43" s="657"/>
      <c r="J43" s="657"/>
      <c r="K43" s="657"/>
      <c r="L43" s="657"/>
      <c r="M43" s="657"/>
      <c r="N43" s="657"/>
      <c r="O43" s="657"/>
      <c r="P43" s="657"/>
      <c r="Q43" s="657"/>
      <c r="R43" s="657"/>
      <c r="S43" s="657"/>
    </row>
    <row r="44" spans="1:21" s="591" customFormat="1" ht="11.25" customHeight="1" x14ac:dyDescent="0.2">
      <c r="A44" s="658">
        <v>61</v>
      </c>
      <c r="B44" s="655" t="s">
        <v>501</v>
      </c>
      <c r="D44" s="593">
        <v>61</v>
      </c>
      <c r="F44" s="655" t="s">
        <v>513</v>
      </c>
      <c r="H44" s="657"/>
      <c r="I44" s="657"/>
      <c r="J44" s="657"/>
      <c r="K44" s="657"/>
      <c r="L44" s="657"/>
      <c r="M44" s="657"/>
      <c r="N44" s="657"/>
      <c r="O44" s="657"/>
      <c r="P44" s="657"/>
      <c r="Q44" s="657"/>
      <c r="R44" s="657"/>
      <c r="S44" s="657"/>
    </row>
    <row r="45" spans="1:21" s="591" customFormat="1" ht="11.25" customHeight="1" x14ac:dyDescent="0.2">
      <c r="A45" s="654">
        <v>65</v>
      </c>
      <c r="B45" s="655" t="s">
        <v>502</v>
      </c>
      <c r="D45" s="593">
        <v>65</v>
      </c>
      <c r="F45" s="655" t="s">
        <v>514</v>
      </c>
      <c r="G45" s="659"/>
      <c r="H45" s="657"/>
      <c r="I45" s="657"/>
      <c r="J45" s="657"/>
      <c r="K45" s="657"/>
      <c r="L45" s="657"/>
      <c r="M45" s="657"/>
      <c r="N45" s="657"/>
      <c r="O45" s="657"/>
      <c r="P45" s="657"/>
      <c r="Q45" s="657"/>
      <c r="R45" s="657"/>
      <c r="S45" s="657"/>
    </row>
    <row r="46" spans="1:21" s="591" customFormat="1" ht="11.25" customHeight="1" x14ac:dyDescent="0.2">
      <c r="A46" s="658">
        <v>69</v>
      </c>
      <c r="B46" s="655" t="s">
        <v>503</v>
      </c>
      <c r="D46" s="593">
        <v>69</v>
      </c>
      <c r="F46" s="655" t="s">
        <v>503</v>
      </c>
      <c r="G46" s="657"/>
      <c r="H46" s="657"/>
      <c r="I46" s="657"/>
      <c r="J46" s="657"/>
      <c r="K46" s="657"/>
      <c r="L46" s="657"/>
      <c r="M46" s="657"/>
      <c r="N46" s="657"/>
      <c r="O46" s="657"/>
      <c r="P46" s="657"/>
      <c r="Q46" s="657"/>
      <c r="R46" s="657"/>
      <c r="S46" s="657"/>
    </row>
    <row r="47" spans="1:21" s="591" customFormat="1" ht="11.25" customHeight="1" x14ac:dyDescent="0.2">
      <c r="A47" s="658">
        <v>73</v>
      </c>
      <c r="B47" s="655" t="s">
        <v>504</v>
      </c>
      <c r="D47" s="593">
        <v>70</v>
      </c>
      <c r="F47" s="655" t="s">
        <v>520</v>
      </c>
      <c r="G47" s="657"/>
      <c r="H47" s="657"/>
      <c r="I47" s="657"/>
      <c r="J47" s="657"/>
      <c r="K47" s="657"/>
      <c r="L47" s="657"/>
      <c r="M47" s="657"/>
      <c r="N47" s="657"/>
      <c r="O47" s="657"/>
      <c r="P47" s="657"/>
      <c r="Q47" s="657"/>
      <c r="R47" s="657"/>
      <c r="S47" s="657"/>
    </row>
    <row r="48" spans="1:21" s="591" customFormat="1" ht="11.25" customHeight="1" x14ac:dyDescent="0.2">
      <c r="A48" s="658">
        <v>75</v>
      </c>
      <c r="B48" s="655" t="s">
        <v>515</v>
      </c>
      <c r="D48" s="593">
        <v>71</v>
      </c>
      <c r="F48" s="655" t="s">
        <v>521</v>
      </c>
      <c r="G48" s="657"/>
      <c r="H48" s="657"/>
      <c r="I48" s="657"/>
      <c r="J48" s="657"/>
      <c r="K48" s="657"/>
      <c r="L48" s="657"/>
      <c r="M48" s="657"/>
      <c r="N48" s="657"/>
      <c r="O48" s="657"/>
      <c r="P48" s="657"/>
      <c r="Q48" s="657"/>
      <c r="R48" s="657"/>
      <c r="S48" s="657"/>
    </row>
    <row r="49" spans="1:29" s="591" customFormat="1" ht="11.25" customHeight="1" x14ac:dyDescent="0.2">
      <c r="A49" s="658">
        <v>77</v>
      </c>
      <c r="B49" s="655" t="s">
        <v>516</v>
      </c>
      <c r="D49" s="593" t="s">
        <v>522</v>
      </c>
      <c r="F49" s="655" t="s">
        <v>523</v>
      </c>
      <c r="G49" s="657"/>
      <c r="H49" s="657"/>
      <c r="I49" s="657"/>
      <c r="J49" s="657"/>
      <c r="K49" s="657"/>
      <c r="L49" s="657"/>
      <c r="M49" s="657"/>
      <c r="N49" s="657"/>
      <c r="O49" s="657"/>
      <c r="P49" s="657"/>
      <c r="Q49" s="657"/>
      <c r="R49" s="657"/>
      <c r="S49" s="657"/>
    </row>
    <row r="50" spans="1:29" s="591" customFormat="1" ht="11.25" customHeight="1" x14ac:dyDescent="0.2">
      <c r="A50" s="658">
        <v>83</v>
      </c>
      <c r="B50" s="655" t="s">
        <v>517</v>
      </c>
      <c r="D50" s="593">
        <v>81</v>
      </c>
      <c r="F50" s="655" t="s">
        <v>524</v>
      </c>
      <c r="G50" s="657"/>
      <c r="H50" s="657"/>
      <c r="I50" s="657"/>
      <c r="J50" s="657"/>
      <c r="K50" s="657"/>
      <c r="L50" s="657"/>
      <c r="M50" s="657"/>
      <c r="N50" s="657"/>
      <c r="O50" s="657"/>
      <c r="P50" s="657"/>
      <c r="Q50" s="657"/>
      <c r="R50" s="657"/>
      <c r="S50" s="657"/>
    </row>
    <row r="51" spans="1:29" s="591" customFormat="1" ht="11.25" customHeight="1" x14ac:dyDescent="0.2">
      <c r="A51" s="658">
        <v>85</v>
      </c>
      <c r="B51" s="655" t="s">
        <v>518</v>
      </c>
      <c r="D51" s="593" t="s">
        <v>525</v>
      </c>
      <c r="F51" s="655" t="s">
        <v>526</v>
      </c>
      <c r="G51" s="657"/>
      <c r="H51" s="657"/>
      <c r="I51" s="657"/>
      <c r="J51" s="657"/>
      <c r="K51" s="657"/>
      <c r="L51" s="657"/>
      <c r="M51" s="657"/>
      <c r="N51" s="657"/>
      <c r="O51" s="657"/>
      <c r="P51" s="657"/>
      <c r="Q51" s="657"/>
      <c r="R51" s="657"/>
      <c r="S51" s="657"/>
    </row>
    <row r="52" spans="1:29" s="591" customFormat="1" ht="11.25" customHeight="1" x14ac:dyDescent="0.2">
      <c r="A52" s="658">
        <v>87</v>
      </c>
      <c r="B52" s="655" t="s">
        <v>519</v>
      </c>
      <c r="D52" s="593">
        <v>89</v>
      </c>
      <c r="F52" s="655" t="s">
        <v>527</v>
      </c>
      <c r="G52" s="657"/>
      <c r="H52" s="657"/>
      <c r="I52" s="657"/>
      <c r="J52" s="657"/>
      <c r="K52" s="657"/>
      <c r="L52" s="657"/>
      <c r="M52" s="657"/>
      <c r="N52" s="657"/>
      <c r="O52" s="657"/>
      <c r="P52" s="657"/>
      <c r="Q52" s="657"/>
      <c r="R52" s="657"/>
      <c r="S52" s="657"/>
    </row>
    <row r="53" spans="1:29" s="660" customFormat="1" ht="13.5" customHeight="1" x14ac:dyDescent="0.2">
      <c r="C53" s="661"/>
      <c r="D53" s="662"/>
      <c r="E53" s="662"/>
      <c r="F53" s="662"/>
      <c r="G53" s="662"/>
      <c r="H53" s="662"/>
      <c r="I53" s="662"/>
      <c r="J53" s="662"/>
      <c r="K53" s="662"/>
      <c r="L53" s="662"/>
      <c r="M53" s="662"/>
      <c r="N53" s="662"/>
      <c r="O53" s="662"/>
      <c r="P53" s="662"/>
      <c r="Q53" s="662"/>
      <c r="R53" s="662"/>
      <c r="S53" s="662"/>
      <c r="U53" s="663"/>
      <c r="V53" s="663"/>
    </row>
    <row r="54" spans="1:29" s="660" customFormat="1" ht="13.5" customHeight="1" x14ac:dyDescent="0.2">
      <c r="A54" s="1005" t="s">
        <v>746</v>
      </c>
      <c r="B54" s="963"/>
      <c r="C54" s="963"/>
      <c r="D54" s="963"/>
      <c r="E54" s="963"/>
      <c r="F54" s="963"/>
      <c r="G54" s="963"/>
      <c r="H54" s="963"/>
      <c r="I54" s="963"/>
      <c r="J54" s="963"/>
      <c r="K54" s="963"/>
      <c r="L54" s="963"/>
      <c r="M54" s="963"/>
      <c r="N54" s="963"/>
      <c r="O54" s="963"/>
      <c r="P54" s="963"/>
      <c r="Q54" s="963"/>
      <c r="R54" s="963"/>
      <c r="S54" s="963"/>
      <c r="T54" s="963"/>
      <c r="U54" s="963"/>
      <c r="V54" s="663"/>
    </row>
    <row r="55" spans="1:29" s="660" customFormat="1" ht="13.5" customHeight="1" x14ac:dyDescent="0.2">
      <c r="A55" s="1006"/>
      <c r="B55" s="964"/>
      <c r="C55" s="964"/>
      <c r="D55" s="964"/>
      <c r="E55" s="964"/>
      <c r="F55" s="964"/>
      <c r="G55" s="964"/>
      <c r="H55" s="964"/>
      <c r="I55" s="964"/>
      <c r="J55" s="964"/>
      <c r="K55" s="964"/>
      <c r="L55" s="964"/>
      <c r="M55" s="964"/>
      <c r="N55" s="964"/>
      <c r="O55" s="964"/>
      <c r="P55" s="964"/>
      <c r="Q55" s="964"/>
      <c r="R55" s="964"/>
      <c r="S55" s="964"/>
      <c r="T55" s="964"/>
      <c r="U55" s="964"/>
      <c r="V55" s="663"/>
    </row>
    <row r="56" spans="1:29" s="660" customFormat="1" ht="13.5" customHeight="1" x14ac:dyDescent="0.2">
      <c r="A56" s="664"/>
      <c r="B56" s="964"/>
      <c r="C56" s="964"/>
      <c r="D56" s="964"/>
      <c r="E56" s="964"/>
      <c r="F56" s="964"/>
      <c r="G56" s="964"/>
      <c r="H56" s="964"/>
      <c r="I56" s="964"/>
      <c r="J56" s="964"/>
      <c r="K56" s="964"/>
      <c r="L56" s="964"/>
      <c r="M56" s="964"/>
      <c r="N56" s="964"/>
      <c r="O56" s="964"/>
      <c r="P56" s="964"/>
      <c r="Q56" s="964"/>
      <c r="R56" s="964"/>
      <c r="S56" s="964"/>
      <c r="T56" s="964"/>
      <c r="U56" s="964"/>
      <c r="V56" s="663"/>
    </row>
    <row r="57" spans="1:29" s="660" customFormat="1" ht="13.5" customHeight="1" x14ac:dyDescent="0.2">
      <c r="A57" s="664"/>
      <c r="B57" s="964"/>
      <c r="C57" s="964"/>
      <c r="D57" s="964"/>
      <c r="E57" s="964"/>
      <c r="F57" s="964"/>
      <c r="G57" s="964"/>
      <c r="H57" s="964"/>
      <c r="I57" s="964"/>
      <c r="J57" s="964"/>
      <c r="K57" s="964"/>
      <c r="L57" s="964"/>
      <c r="M57" s="964"/>
      <c r="N57" s="964"/>
      <c r="O57" s="964"/>
      <c r="P57" s="964"/>
      <c r="Q57" s="964"/>
      <c r="R57" s="964"/>
      <c r="S57" s="964"/>
      <c r="T57" s="964"/>
      <c r="U57" s="964"/>
      <c r="V57" s="663"/>
    </row>
    <row r="58" spans="1:29" s="660" customFormat="1" ht="13.5" customHeight="1" x14ac:dyDescent="0.2">
      <c r="A58" s="664"/>
      <c r="B58" s="964"/>
      <c r="C58" s="964"/>
      <c r="D58" s="964"/>
      <c r="E58" s="964"/>
      <c r="F58" s="964"/>
      <c r="G58" s="964"/>
      <c r="H58" s="964"/>
      <c r="I58" s="964"/>
      <c r="J58" s="964"/>
      <c r="K58" s="964"/>
      <c r="L58" s="964"/>
      <c r="M58" s="964"/>
      <c r="N58" s="964"/>
      <c r="O58" s="964"/>
      <c r="P58" s="964"/>
      <c r="Q58" s="964"/>
      <c r="R58" s="964"/>
      <c r="S58" s="964"/>
      <c r="T58" s="964"/>
      <c r="U58" s="964"/>
      <c r="V58" s="663"/>
    </row>
    <row r="59" spans="1:29" s="660" customFormat="1" ht="13.5" customHeight="1" x14ac:dyDescent="0.2">
      <c r="A59" s="664"/>
      <c r="B59" s="964"/>
      <c r="C59" s="964"/>
      <c r="D59" s="964"/>
      <c r="E59" s="964"/>
      <c r="F59" s="964"/>
      <c r="G59" s="964"/>
      <c r="H59" s="964"/>
      <c r="I59" s="964"/>
      <c r="J59" s="964"/>
      <c r="K59" s="964"/>
      <c r="L59" s="964"/>
      <c r="M59" s="964"/>
      <c r="N59" s="964"/>
      <c r="O59" s="964"/>
      <c r="P59" s="964"/>
      <c r="Q59" s="964"/>
      <c r="R59" s="964"/>
      <c r="S59" s="964"/>
      <c r="T59" s="964"/>
      <c r="U59" s="964"/>
      <c r="V59" s="663"/>
    </row>
    <row r="60" spans="1:29" s="660" customFormat="1" ht="13.5" customHeight="1" x14ac:dyDescent="0.2">
      <c r="A60" s="665"/>
      <c r="B60" s="666"/>
      <c r="C60" s="666"/>
      <c r="D60" s="666"/>
      <c r="E60" s="666"/>
      <c r="F60" s="666"/>
      <c r="G60" s="666"/>
      <c r="H60" s="666"/>
      <c r="I60" s="666"/>
      <c r="J60" s="666"/>
      <c r="K60" s="666"/>
      <c r="L60" s="666"/>
      <c r="M60" s="666"/>
      <c r="N60" s="666"/>
      <c r="O60" s="666"/>
      <c r="P60" s="666"/>
      <c r="Q60" s="666"/>
      <c r="R60" s="666"/>
      <c r="S60" s="666"/>
      <c r="T60" s="661"/>
      <c r="U60" s="663"/>
      <c r="V60" s="663"/>
    </row>
    <row r="61" spans="1:29" s="633" customFormat="1" x14ac:dyDescent="0.25">
      <c r="C61" s="667"/>
      <c r="D61" s="618"/>
      <c r="E61" s="618"/>
      <c r="F61" s="618"/>
      <c r="G61" s="618"/>
      <c r="H61" s="618"/>
      <c r="I61" s="618"/>
      <c r="J61" s="618"/>
      <c r="K61" s="618"/>
      <c r="L61" s="618"/>
      <c r="M61" s="618"/>
      <c r="N61" s="618"/>
      <c r="O61" s="618"/>
      <c r="P61" s="618"/>
      <c r="Q61" s="618"/>
      <c r="R61" s="618"/>
      <c r="S61" s="618"/>
      <c r="T61" s="668"/>
      <c r="U61" s="648"/>
      <c r="V61" s="648"/>
    </row>
    <row r="62" spans="1:29" s="633" customFormat="1" x14ac:dyDescent="0.25">
      <c r="C62" s="667"/>
      <c r="D62" s="618"/>
      <c r="E62" s="618"/>
      <c r="F62" s="618"/>
      <c r="G62" s="618"/>
      <c r="H62" s="618"/>
      <c r="I62" s="618"/>
      <c r="J62" s="618"/>
      <c r="K62" s="618"/>
      <c r="L62" s="618"/>
      <c r="M62" s="618"/>
      <c r="N62" s="618"/>
      <c r="O62" s="618"/>
      <c r="P62" s="618"/>
      <c r="Q62" s="618"/>
      <c r="R62" s="618"/>
      <c r="S62" s="618"/>
      <c r="T62" s="668"/>
      <c r="U62" s="648"/>
      <c r="V62" s="648"/>
      <c r="AB62" s="669"/>
      <c r="AC62" s="669"/>
    </row>
    <row r="63" spans="1:29" s="633" customFormat="1" x14ac:dyDescent="0.25">
      <c r="C63" s="667"/>
      <c r="D63" s="618"/>
      <c r="E63" s="618"/>
      <c r="F63" s="618"/>
      <c r="G63" s="618"/>
      <c r="H63" s="618"/>
      <c r="I63" s="618"/>
      <c r="J63" s="618"/>
      <c r="K63" s="618"/>
      <c r="L63" s="618"/>
      <c r="M63" s="618"/>
      <c r="N63" s="618"/>
      <c r="O63" s="618"/>
      <c r="P63" s="618"/>
      <c r="Q63" s="618"/>
      <c r="R63" s="618"/>
      <c r="S63" s="618"/>
      <c r="T63" s="668"/>
      <c r="U63" s="648"/>
      <c r="V63" s="648"/>
    </row>
    <row r="64" spans="1:29" s="633" customFormat="1" x14ac:dyDescent="0.25">
      <c r="C64" s="667"/>
      <c r="D64" s="618"/>
      <c r="E64" s="618"/>
      <c r="F64" s="618"/>
      <c r="G64" s="618"/>
      <c r="H64" s="618"/>
      <c r="I64" s="618"/>
      <c r="J64" s="618"/>
      <c r="K64" s="618"/>
      <c r="L64" s="618"/>
      <c r="M64" s="618"/>
      <c r="N64" s="618"/>
      <c r="O64" s="618"/>
      <c r="P64" s="618"/>
      <c r="Q64" s="618"/>
      <c r="R64" s="618"/>
      <c r="S64" s="618"/>
      <c r="T64" s="668"/>
      <c r="U64" s="648"/>
      <c r="V64" s="648"/>
    </row>
    <row r="65" spans="3:22" s="633" customFormat="1" x14ac:dyDescent="0.25">
      <c r="C65" s="667"/>
      <c r="D65" s="618"/>
      <c r="E65" s="618"/>
      <c r="F65" s="618"/>
      <c r="G65" s="618"/>
      <c r="H65" s="618"/>
      <c r="I65" s="618"/>
      <c r="J65" s="618"/>
      <c r="K65" s="618"/>
      <c r="L65" s="618"/>
      <c r="M65" s="618"/>
      <c r="N65" s="618"/>
      <c r="O65" s="618"/>
      <c r="P65" s="618"/>
      <c r="Q65" s="618"/>
      <c r="R65" s="618"/>
      <c r="S65" s="618"/>
      <c r="T65" s="668"/>
      <c r="U65" s="648"/>
      <c r="V65" s="648"/>
    </row>
    <row r="66" spans="3:22" s="633" customFormat="1" x14ac:dyDescent="0.25">
      <c r="C66" s="667"/>
      <c r="D66" s="618"/>
      <c r="E66" s="618"/>
      <c r="F66" s="618"/>
      <c r="G66" s="618"/>
      <c r="H66" s="618"/>
      <c r="I66" s="618"/>
      <c r="J66" s="618"/>
      <c r="K66" s="618"/>
      <c r="L66" s="618"/>
      <c r="M66" s="618"/>
      <c r="N66" s="618"/>
      <c r="O66" s="618"/>
      <c r="P66" s="618"/>
      <c r="Q66" s="618"/>
      <c r="R66" s="618"/>
      <c r="S66" s="618"/>
      <c r="T66" s="668"/>
      <c r="U66" s="648"/>
      <c r="V66" s="648"/>
    </row>
    <row r="67" spans="3:22" s="633" customFormat="1" x14ac:dyDescent="0.25">
      <c r="C67" s="667"/>
      <c r="D67" s="618"/>
      <c r="E67" s="618"/>
      <c r="F67" s="618"/>
      <c r="G67" s="618"/>
      <c r="H67" s="618"/>
      <c r="I67" s="618"/>
      <c r="J67" s="618"/>
      <c r="K67" s="618"/>
      <c r="L67" s="618"/>
      <c r="M67" s="618"/>
      <c r="N67" s="618"/>
      <c r="O67" s="618"/>
      <c r="P67" s="618"/>
      <c r="Q67" s="618"/>
      <c r="R67" s="618"/>
      <c r="S67" s="618"/>
      <c r="T67" s="668"/>
      <c r="U67" s="648"/>
      <c r="V67" s="648"/>
    </row>
    <row r="68" spans="3:22" s="633" customFormat="1" x14ac:dyDescent="0.25">
      <c r="C68" s="667"/>
      <c r="D68" s="618"/>
      <c r="E68" s="618"/>
      <c r="F68" s="618"/>
      <c r="G68" s="618"/>
      <c r="H68" s="618"/>
      <c r="I68" s="618"/>
      <c r="J68" s="618"/>
      <c r="K68" s="618"/>
      <c r="L68" s="618"/>
      <c r="M68" s="618"/>
      <c r="N68" s="618"/>
      <c r="O68" s="618"/>
      <c r="P68" s="618"/>
      <c r="Q68" s="618"/>
      <c r="R68" s="618"/>
      <c r="S68" s="618"/>
      <c r="T68" s="668"/>
      <c r="U68" s="648"/>
      <c r="V68" s="648"/>
    </row>
    <row r="69" spans="3:22" s="633" customFormat="1" x14ac:dyDescent="0.25">
      <c r="C69" s="667"/>
      <c r="D69" s="618"/>
      <c r="E69" s="618"/>
      <c r="F69" s="618"/>
      <c r="G69" s="618"/>
      <c r="H69" s="618"/>
      <c r="I69" s="618"/>
      <c r="J69" s="618"/>
      <c r="K69" s="618"/>
      <c r="L69" s="618"/>
      <c r="M69" s="618"/>
      <c r="N69" s="618"/>
      <c r="O69" s="618"/>
      <c r="P69" s="618"/>
      <c r="Q69" s="618"/>
      <c r="R69" s="618"/>
      <c r="S69" s="618"/>
      <c r="T69" s="668"/>
      <c r="U69" s="648"/>
      <c r="V69" s="648"/>
    </row>
    <row r="70" spans="3:22" s="633" customFormat="1" x14ac:dyDescent="0.25">
      <c r="C70" s="667"/>
      <c r="D70" s="618"/>
      <c r="E70" s="618"/>
      <c r="F70" s="618"/>
      <c r="G70" s="618"/>
      <c r="H70" s="618"/>
      <c r="I70" s="618"/>
      <c r="J70" s="618"/>
      <c r="K70" s="618"/>
      <c r="L70" s="618"/>
      <c r="M70" s="618"/>
      <c r="N70" s="618"/>
      <c r="O70" s="618"/>
      <c r="P70" s="618"/>
      <c r="Q70" s="618"/>
      <c r="R70" s="618"/>
      <c r="S70" s="618"/>
      <c r="T70" s="668"/>
      <c r="U70" s="648"/>
      <c r="V70" s="648"/>
    </row>
    <row r="71" spans="3:22" s="633" customFormat="1" x14ac:dyDescent="0.25">
      <c r="C71" s="667"/>
      <c r="D71" s="618"/>
      <c r="E71" s="618"/>
      <c r="F71" s="618"/>
      <c r="G71" s="618"/>
      <c r="H71" s="618"/>
      <c r="I71" s="618"/>
      <c r="J71" s="618"/>
      <c r="K71" s="618"/>
      <c r="L71" s="618"/>
      <c r="M71" s="618"/>
      <c r="N71" s="618"/>
      <c r="O71" s="618"/>
      <c r="P71" s="618"/>
      <c r="Q71" s="618"/>
      <c r="R71" s="618"/>
      <c r="S71" s="618"/>
      <c r="T71" s="668"/>
      <c r="U71" s="648"/>
      <c r="V71" s="648"/>
    </row>
    <row r="72" spans="3:22" s="633" customFormat="1" x14ac:dyDescent="0.25">
      <c r="C72" s="667"/>
      <c r="D72" s="618"/>
      <c r="E72" s="618"/>
      <c r="F72" s="618"/>
      <c r="G72" s="618"/>
      <c r="H72" s="618"/>
      <c r="I72" s="618"/>
      <c r="J72" s="618"/>
      <c r="K72" s="618"/>
      <c r="L72" s="618"/>
      <c r="M72" s="618"/>
      <c r="N72" s="618"/>
      <c r="O72" s="618"/>
      <c r="P72" s="618"/>
      <c r="Q72" s="618"/>
      <c r="R72" s="618"/>
      <c r="S72" s="618"/>
      <c r="T72" s="668"/>
      <c r="U72" s="648"/>
      <c r="V72" s="648"/>
    </row>
    <row r="73" spans="3:22" s="633" customFormat="1" x14ac:dyDescent="0.25">
      <c r="C73" s="667"/>
      <c r="D73" s="618"/>
      <c r="E73" s="618"/>
      <c r="F73" s="618"/>
      <c r="G73" s="618"/>
      <c r="H73" s="618"/>
      <c r="I73" s="618"/>
      <c r="J73" s="618"/>
      <c r="K73" s="618"/>
      <c r="L73" s="618"/>
      <c r="M73" s="618"/>
      <c r="N73" s="618"/>
      <c r="O73" s="618"/>
      <c r="P73" s="618"/>
      <c r="Q73" s="618"/>
      <c r="R73" s="618"/>
      <c r="S73" s="618"/>
      <c r="T73" s="668"/>
      <c r="U73" s="648"/>
      <c r="V73" s="648"/>
    </row>
    <row r="74" spans="3:22" s="633" customFormat="1" x14ac:dyDescent="0.25">
      <c r="C74" s="667"/>
      <c r="D74" s="618"/>
      <c r="E74" s="618"/>
      <c r="F74" s="618"/>
      <c r="G74" s="618"/>
      <c r="H74" s="618"/>
      <c r="I74" s="618"/>
      <c r="J74" s="618"/>
      <c r="K74" s="618"/>
      <c r="L74" s="618"/>
      <c r="M74" s="618"/>
      <c r="N74" s="618"/>
      <c r="O74" s="618"/>
      <c r="P74" s="618"/>
      <c r="Q74" s="618"/>
      <c r="R74" s="618"/>
      <c r="S74" s="618"/>
      <c r="T74" s="668"/>
      <c r="U74" s="648"/>
      <c r="V74" s="648"/>
    </row>
    <row r="75" spans="3:22" s="633" customFormat="1" x14ac:dyDescent="0.25">
      <c r="C75" s="667"/>
      <c r="D75" s="618"/>
      <c r="E75" s="618"/>
      <c r="F75" s="618"/>
      <c r="G75" s="618"/>
      <c r="H75" s="618"/>
      <c r="I75" s="618"/>
      <c r="J75" s="618"/>
      <c r="K75" s="618"/>
      <c r="L75" s="618"/>
      <c r="M75" s="618"/>
      <c r="N75" s="618"/>
      <c r="O75" s="618"/>
      <c r="P75" s="618"/>
      <c r="Q75" s="618"/>
      <c r="R75" s="618"/>
      <c r="S75" s="618"/>
      <c r="T75" s="668"/>
      <c r="U75" s="648"/>
      <c r="V75" s="648"/>
    </row>
    <row r="76" spans="3:22" s="633" customFormat="1" x14ac:dyDescent="0.25">
      <c r="C76" s="667"/>
      <c r="D76" s="618"/>
      <c r="E76" s="618"/>
      <c r="F76" s="618"/>
      <c r="G76" s="618"/>
      <c r="H76" s="618"/>
      <c r="I76" s="618"/>
      <c r="J76" s="618"/>
      <c r="K76" s="618"/>
      <c r="L76" s="618"/>
      <c r="M76" s="618"/>
      <c r="N76" s="618"/>
      <c r="O76" s="618"/>
      <c r="P76" s="618"/>
      <c r="Q76" s="618"/>
      <c r="R76" s="618"/>
      <c r="S76" s="618"/>
      <c r="T76" s="670"/>
      <c r="U76" s="671"/>
      <c r="V76" s="648"/>
    </row>
  </sheetData>
  <sheetProtection sheet="1" objects="1" scenarios="1"/>
  <sortState ref="U6:U12">
    <sortCondition ref="U6"/>
  </sortState>
  <mergeCells count="111">
    <mergeCell ref="D18:E18"/>
    <mergeCell ref="H18:I18"/>
    <mergeCell ref="L18:M18"/>
    <mergeCell ref="P18:Q18"/>
    <mergeCell ref="A54:A55"/>
    <mergeCell ref="H12:K12"/>
    <mergeCell ref="L12:O12"/>
    <mergeCell ref="P12:S12"/>
    <mergeCell ref="L16:O16"/>
    <mergeCell ref="P16:S16"/>
    <mergeCell ref="P23:S23"/>
    <mergeCell ref="D23:G23"/>
    <mergeCell ref="H21:K21"/>
    <mergeCell ref="L21:O21"/>
    <mergeCell ref="P21:S21"/>
    <mergeCell ref="H15:K15"/>
    <mergeCell ref="L15:O15"/>
    <mergeCell ref="H13:K13"/>
    <mergeCell ref="L13:O13"/>
    <mergeCell ref="P13:S13"/>
    <mergeCell ref="H14:K14"/>
    <mergeCell ref="L14:O14"/>
    <mergeCell ref="P14:S14"/>
    <mergeCell ref="N19:O19"/>
    <mergeCell ref="L23:O23"/>
    <mergeCell ref="R10:S10"/>
    <mergeCell ref="R11:S11"/>
    <mergeCell ref="L7:O7"/>
    <mergeCell ref="P7:S7"/>
    <mergeCell ref="H8:K8"/>
    <mergeCell ref="L8:O8"/>
    <mergeCell ref="P8:S8"/>
    <mergeCell ref="H9:I9"/>
    <mergeCell ref="J9:K9"/>
    <mergeCell ref="L9:M9"/>
    <mergeCell ref="N9:O9"/>
    <mergeCell ref="P9:Q9"/>
    <mergeCell ref="N11:O11"/>
    <mergeCell ref="R9:S9"/>
    <mergeCell ref="H10:I10"/>
    <mergeCell ref="J10:K10"/>
    <mergeCell ref="L10:M10"/>
    <mergeCell ref="N10:O10"/>
    <mergeCell ref="P10:Q10"/>
    <mergeCell ref="J11:K11"/>
    <mergeCell ref="H11:I11"/>
    <mergeCell ref="L11:M11"/>
    <mergeCell ref="P11:Q11"/>
    <mergeCell ref="H6:K6"/>
    <mergeCell ref="L6:O6"/>
    <mergeCell ref="P6:S6"/>
    <mergeCell ref="H7:K7"/>
    <mergeCell ref="R3:S3"/>
    <mergeCell ref="H4:K4"/>
    <mergeCell ref="H5:K5"/>
    <mergeCell ref="L5:O5"/>
    <mergeCell ref="P5:S5"/>
    <mergeCell ref="D1:G1"/>
    <mergeCell ref="H1:K1"/>
    <mergeCell ref="L1:O1"/>
    <mergeCell ref="P1:S1"/>
    <mergeCell ref="D2:G2"/>
    <mergeCell ref="D3:E3"/>
    <mergeCell ref="L4:O4"/>
    <mergeCell ref="P4:S4"/>
    <mergeCell ref="D4:G4"/>
    <mergeCell ref="H2:K2"/>
    <mergeCell ref="L2:O2"/>
    <mergeCell ref="P2:S2"/>
    <mergeCell ref="J3:K3"/>
    <mergeCell ref="L3:M3"/>
    <mergeCell ref="F3:G3"/>
    <mergeCell ref="H3:I3"/>
    <mergeCell ref="N3:O3"/>
    <mergeCell ref="P3:Q3"/>
    <mergeCell ref="D5:G5"/>
    <mergeCell ref="D7:G7"/>
    <mergeCell ref="F11:G11"/>
    <mergeCell ref="D13:G13"/>
    <mergeCell ref="D9:E9"/>
    <mergeCell ref="F9:G9"/>
    <mergeCell ref="D12:G12"/>
    <mergeCell ref="D6:G6"/>
    <mergeCell ref="D8:G8"/>
    <mergeCell ref="D10:E10"/>
    <mergeCell ref="F10:G10"/>
    <mergeCell ref="D11:E11"/>
    <mergeCell ref="B54:U59"/>
    <mergeCell ref="A17:S17"/>
    <mergeCell ref="P15:S15"/>
    <mergeCell ref="D16:G16"/>
    <mergeCell ref="H16:K16"/>
    <mergeCell ref="L19:M19"/>
    <mergeCell ref="D14:G14"/>
    <mergeCell ref="D22:G22"/>
    <mergeCell ref="D21:G21"/>
    <mergeCell ref="D20:G20"/>
    <mergeCell ref="F19:G19"/>
    <mergeCell ref="D19:E19"/>
    <mergeCell ref="D15:G15"/>
    <mergeCell ref="P19:Q19"/>
    <mergeCell ref="R19:S19"/>
    <mergeCell ref="H22:K22"/>
    <mergeCell ref="L22:O22"/>
    <mergeCell ref="P22:S22"/>
    <mergeCell ref="J19:K19"/>
    <mergeCell ref="H20:K20"/>
    <mergeCell ref="L20:O20"/>
    <mergeCell ref="P20:S20"/>
    <mergeCell ref="H19:I19"/>
    <mergeCell ref="H23:K23"/>
  </mergeCells>
  <phoneticPr fontId="29" type="noConversion"/>
  <dataValidations count="6">
    <dataValidation type="list" allowBlank="1" showInputMessage="1" showErrorMessage="1" sqref="D14:S15">
      <formula1>$V$14:$V$16</formula1>
    </dataValidation>
    <dataValidation type="list" allowBlank="1" showInputMessage="1" showErrorMessage="1" sqref="D16:S16">
      <formula1>$V$18:$V$20</formula1>
    </dataValidation>
    <dataValidation type="list" allowBlank="1" showInputMessage="1" showErrorMessage="1" sqref="D20:S20">
      <formula1>$V$21:$V$23</formula1>
    </dataValidation>
    <dataValidation type="list" allowBlank="1" showInputMessage="1" showErrorMessage="1" sqref="D21:S21">
      <formula1>$V$10:$V$12</formula1>
    </dataValidation>
    <dataValidation type="list" allowBlank="1" showInputMessage="1" showErrorMessage="1" sqref="D6:S6">
      <formula1>$U$1:$U$25</formula1>
    </dataValidation>
    <dataValidation type="list" allowBlank="1" showInputMessage="1" showErrorMessage="1" sqref="L11 D11 H11 P11">
      <formula1>$U$27:$U$42</formula1>
    </dataValidation>
  </dataValidations>
  <pageMargins left="0.52" right="0.47" top="0.5" bottom="0.24" header="0.2" footer="0.2"/>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L35"/>
  <sheetViews>
    <sheetView zoomScale="97" zoomScaleNormal="97" workbookViewId="0">
      <selection activeCell="D14" sqref="D14"/>
    </sheetView>
  </sheetViews>
  <sheetFormatPr defaultRowHeight="12.75" x14ac:dyDescent="0.2"/>
  <cols>
    <col min="1" max="1" width="7.85546875" customWidth="1"/>
    <col min="2" max="2" width="10.140625" bestFit="1" customWidth="1"/>
    <col min="3" max="3" width="37" customWidth="1"/>
    <col min="4" max="4" width="38.28515625" customWidth="1"/>
    <col min="5" max="5" width="15.42578125" customWidth="1"/>
    <col min="6" max="6" width="9.42578125" customWidth="1"/>
    <col min="7" max="7" width="7.7109375" customWidth="1"/>
    <col min="8" max="8" width="10.140625" customWidth="1"/>
    <col min="9" max="9" width="6.85546875" customWidth="1"/>
    <col min="11" max="11" width="10.140625" bestFit="1" customWidth="1"/>
    <col min="12" max="12" width="80" customWidth="1"/>
  </cols>
  <sheetData>
    <row r="1" spans="1:12" ht="18" x14ac:dyDescent="0.25">
      <c r="A1" s="497" t="s">
        <v>1387</v>
      </c>
    </row>
    <row r="2" spans="1:12" ht="15.75" x14ac:dyDescent="0.25">
      <c r="K2" s="146" t="s">
        <v>1388</v>
      </c>
    </row>
    <row r="3" spans="1:12" x14ac:dyDescent="0.2">
      <c r="K3" s="498" t="s">
        <v>566</v>
      </c>
      <c r="L3" s="6" t="s">
        <v>567</v>
      </c>
    </row>
    <row r="4" spans="1:12" ht="12.75" customHeight="1" x14ac:dyDescent="0.2">
      <c r="A4" s="139" t="s">
        <v>1389</v>
      </c>
      <c r="C4" s="499" t="s">
        <v>1390</v>
      </c>
      <c r="K4" s="498" t="s">
        <v>566</v>
      </c>
    </row>
    <row r="5" spans="1:12" x14ac:dyDescent="0.2">
      <c r="C5" s="6" t="s">
        <v>1391</v>
      </c>
      <c r="K5" s="498" t="s">
        <v>566</v>
      </c>
      <c r="L5" s="500"/>
    </row>
    <row r="6" spans="1:12" x14ac:dyDescent="0.2">
      <c r="C6" s="6" t="s">
        <v>1392</v>
      </c>
      <c r="K6" s="498" t="s">
        <v>566</v>
      </c>
      <c r="L6" s="6" t="s">
        <v>568</v>
      </c>
    </row>
    <row r="7" spans="1:12" x14ac:dyDescent="0.2">
      <c r="C7" s="6" t="s">
        <v>1393</v>
      </c>
    </row>
    <row r="8" spans="1:12" ht="13.5" thickBot="1" x14ac:dyDescent="0.25">
      <c r="C8" t="s">
        <v>1394</v>
      </c>
      <c r="D8" s="501" t="s">
        <v>1395</v>
      </c>
      <c r="E8" s="6" t="s">
        <v>1396</v>
      </c>
      <c r="F8" s="502">
        <v>41784</v>
      </c>
      <c r="G8" s="6" t="s">
        <v>1396</v>
      </c>
      <c r="H8" s="502">
        <v>41785</v>
      </c>
      <c r="I8" s="6" t="s">
        <v>1396</v>
      </c>
    </row>
    <row r="9" spans="1:12" x14ac:dyDescent="0.2">
      <c r="A9" s="503" t="s">
        <v>152</v>
      </c>
      <c r="B9" s="1007" t="s">
        <v>1397</v>
      </c>
      <c r="C9" s="1008"/>
      <c r="D9" s="504" t="s">
        <v>1398</v>
      </c>
      <c r="E9" s="505" t="s">
        <v>1399</v>
      </c>
      <c r="F9" s="506" t="s">
        <v>1400</v>
      </c>
      <c r="G9" s="507"/>
      <c r="H9" s="506" t="s">
        <v>1401</v>
      </c>
      <c r="I9" s="507"/>
    </row>
    <row r="10" spans="1:12" ht="13.5" thickBot="1" x14ac:dyDescent="0.25">
      <c r="A10" s="508"/>
      <c r="B10" s="509" t="s">
        <v>46</v>
      </c>
      <c r="C10" s="510" t="s">
        <v>1402</v>
      </c>
      <c r="D10" s="511"/>
      <c r="E10" s="508"/>
      <c r="F10" s="512" t="s">
        <v>46</v>
      </c>
      <c r="G10" s="510" t="s">
        <v>1403</v>
      </c>
      <c r="H10" s="512" t="s">
        <v>46</v>
      </c>
      <c r="I10" s="510" t="s">
        <v>1403</v>
      </c>
      <c r="K10" s="147" t="s">
        <v>46</v>
      </c>
      <c r="L10" s="148" t="s">
        <v>569</v>
      </c>
    </row>
    <row r="11" spans="1:12" ht="46.5" customHeight="1" thickBot="1" x14ac:dyDescent="0.25">
      <c r="A11" s="513" t="str">
        <f>Fältkort!H91</f>
        <v>HUG066</v>
      </c>
      <c r="B11" s="514">
        <v>41796</v>
      </c>
      <c r="C11" s="515" t="s">
        <v>1459</v>
      </c>
      <c r="D11" s="516" t="s">
        <v>1460</v>
      </c>
      <c r="E11" s="516" t="s">
        <v>1457</v>
      </c>
      <c r="F11" s="517">
        <v>41796</v>
      </c>
      <c r="G11" s="518" t="s">
        <v>1457</v>
      </c>
      <c r="H11" s="517">
        <v>41799</v>
      </c>
      <c r="I11" s="518" t="s">
        <v>1461</v>
      </c>
      <c r="K11" s="248"/>
      <c r="L11" s="519"/>
    </row>
    <row r="12" spans="1:12" ht="46.5" customHeight="1" thickBot="1" x14ac:dyDescent="0.25">
      <c r="A12" s="513"/>
      <c r="B12" s="514"/>
      <c r="C12" s="515"/>
      <c r="D12" s="516"/>
      <c r="E12" s="516"/>
      <c r="F12" s="520"/>
      <c r="G12" s="520"/>
      <c r="H12" s="521"/>
      <c r="I12" s="522"/>
      <c r="K12" s="249"/>
      <c r="L12" s="249"/>
    </row>
    <row r="13" spans="1:12" ht="46.5" customHeight="1" thickBot="1" x14ac:dyDescent="0.25">
      <c r="A13" s="513"/>
      <c r="B13" s="514"/>
      <c r="C13" s="515"/>
      <c r="D13" s="516"/>
      <c r="E13" s="516"/>
      <c r="F13" s="520"/>
      <c r="G13" s="520"/>
      <c r="H13" s="521"/>
      <c r="I13" s="522"/>
      <c r="K13" s="249"/>
      <c r="L13" s="249"/>
    </row>
    <row r="14" spans="1:12" ht="46.5" customHeight="1" thickBot="1" x14ac:dyDescent="0.25">
      <c r="A14" s="513"/>
      <c r="B14" s="514"/>
      <c r="C14" s="515"/>
      <c r="D14" s="516"/>
      <c r="E14" s="516"/>
      <c r="F14" s="520"/>
      <c r="G14" s="520"/>
      <c r="H14" s="521"/>
      <c r="I14" s="522"/>
      <c r="K14" s="249"/>
      <c r="L14" s="249"/>
    </row>
    <row r="15" spans="1:12" ht="46.5" customHeight="1" thickBot="1" x14ac:dyDescent="0.25">
      <c r="A15" s="513"/>
      <c r="B15" s="514"/>
      <c r="C15" s="515"/>
      <c r="D15" s="516"/>
      <c r="E15" s="516"/>
      <c r="F15" s="520"/>
      <c r="G15" s="520"/>
      <c r="H15" s="521"/>
      <c r="I15" s="522"/>
      <c r="K15" s="249"/>
      <c r="L15" s="249"/>
    </row>
    <row r="16" spans="1:12" ht="46.5" customHeight="1" thickBot="1" x14ac:dyDescent="0.25">
      <c r="A16" s="513"/>
      <c r="B16" s="514"/>
      <c r="C16" s="515"/>
      <c r="D16" s="516"/>
      <c r="E16" s="516"/>
      <c r="F16" s="520"/>
      <c r="G16" s="520"/>
      <c r="H16" s="521"/>
      <c r="I16" s="522"/>
      <c r="K16" s="249"/>
      <c r="L16" s="249"/>
    </row>
    <row r="17" spans="1:12" ht="46.5" customHeight="1" thickBot="1" x14ac:dyDescent="0.25">
      <c r="A17" s="513"/>
      <c r="B17" s="514"/>
      <c r="C17" s="515"/>
      <c r="D17" s="516"/>
      <c r="E17" s="516"/>
      <c r="F17" s="520"/>
      <c r="G17" s="520"/>
      <c r="H17" s="521"/>
      <c r="I17" s="522"/>
      <c r="K17" s="249"/>
      <c r="L17" s="249"/>
    </row>
    <row r="18" spans="1:12" ht="46.5" customHeight="1" thickBot="1" x14ac:dyDescent="0.25">
      <c r="A18" s="513"/>
      <c r="B18" s="514"/>
      <c r="C18" s="515"/>
      <c r="D18" s="516"/>
      <c r="E18" s="516"/>
      <c r="F18" s="520"/>
      <c r="G18" s="520"/>
      <c r="H18" s="521"/>
      <c r="I18" s="522"/>
      <c r="K18" s="249"/>
      <c r="L18" s="249"/>
    </row>
    <row r="19" spans="1:12" ht="46.5" customHeight="1" thickBot="1" x14ac:dyDescent="0.25">
      <c r="A19" s="513"/>
      <c r="B19" s="514"/>
      <c r="C19" s="515"/>
      <c r="D19" s="516"/>
      <c r="E19" s="516"/>
      <c r="F19" s="520"/>
      <c r="G19" s="520"/>
      <c r="H19" s="521"/>
      <c r="I19" s="522"/>
      <c r="K19" s="249"/>
      <c r="L19" s="249"/>
    </row>
    <row r="20" spans="1:12" ht="14.25" customHeight="1" x14ac:dyDescent="0.2">
      <c r="B20" s="6" t="s">
        <v>1404</v>
      </c>
      <c r="K20" s="249"/>
      <c r="L20" s="249"/>
    </row>
    <row r="21" spans="1:12" ht="24.75" customHeight="1" x14ac:dyDescent="0.2">
      <c r="K21" s="249"/>
      <c r="L21" s="249"/>
    </row>
    <row r="22" spans="1:12" ht="24.75" customHeight="1" x14ac:dyDescent="0.2">
      <c r="K22" s="249"/>
      <c r="L22" s="249"/>
    </row>
    <row r="23" spans="1:12" ht="24.75" customHeight="1" x14ac:dyDescent="0.2">
      <c r="K23" s="249"/>
      <c r="L23" s="249"/>
    </row>
    <row r="24" spans="1:12" ht="24.75" customHeight="1" x14ac:dyDescent="0.2">
      <c r="K24" s="249"/>
      <c r="L24" s="249"/>
    </row>
    <row r="25" spans="1:12" ht="24.75" customHeight="1" x14ac:dyDescent="0.2">
      <c r="K25" s="249"/>
      <c r="L25" s="249"/>
    </row>
    <row r="26" spans="1:12" ht="24.75" customHeight="1" x14ac:dyDescent="0.2">
      <c r="K26" s="249"/>
      <c r="L26" s="249"/>
    </row>
    <row r="27" spans="1:12" ht="24.75" customHeight="1" x14ac:dyDescent="0.2">
      <c r="K27" s="249"/>
      <c r="L27" s="249"/>
    </row>
    <row r="28" spans="1:12" ht="24.75" customHeight="1" x14ac:dyDescent="0.2">
      <c r="K28" s="249"/>
      <c r="L28" s="249"/>
    </row>
    <row r="29" spans="1:12" ht="24.75" customHeight="1" x14ac:dyDescent="0.2">
      <c r="K29" s="249"/>
      <c r="L29" s="249"/>
    </row>
    <row r="30" spans="1:12" ht="24.75" customHeight="1" x14ac:dyDescent="0.2">
      <c r="K30" s="249"/>
      <c r="L30" s="249"/>
    </row>
    <row r="31" spans="1:12" ht="24.75" customHeight="1" x14ac:dyDescent="0.2">
      <c r="K31" s="249"/>
      <c r="L31" s="249"/>
    </row>
    <row r="32" spans="1:12" ht="24.75" customHeight="1" x14ac:dyDescent="0.2">
      <c r="K32" s="249"/>
      <c r="L32" s="249"/>
    </row>
    <row r="33" spans="11:12" ht="24.75" customHeight="1" x14ac:dyDescent="0.2">
      <c r="K33" s="249"/>
      <c r="L33" s="249"/>
    </row>
    <row r="34" spans="11:12" ht="24.75" customHeight="1" x14ac:dyDescent="0.2">
      <c r="K34" s="249"/>
      <c r="L34" s="249"/>
    </row>
    <row r="35" spans="11:12" ht="24.75" customHeight="1" x14ac:dyDescent="0.2">
      <c r="K35" s="249"/>
      <c r="L35" s="249"/>
    </row>
  </sheetData>
  <mergeCells count="1">
    <mergeCell ref="B9:C9"/>
  </mergeCells>
  <pageMargins left="0.42" right="0.26" top="0.35" bottom="0.22" header="0.16" footer="0.16"/>
  <pageSetup paperSize="9" orientation="landscape" r:id="rId1"/>
  <headerFooter>
    <oddHeader>&amp;R&amp;F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W108"/>
  <sheetViews>
    <sheetView zoomScaleNormal="100" workbookViewId="0">
      <selection activeCell="P21" sqref="P21"/>
    </sheetView>
  </sheetViews>
  <sheetFormatPr defaultRowHeight="12.75" x14ac:dyDescent="0.2"/>
  <cols>
    <col min="1" max="1" width="7.28515625" style="753" customWidth="1"/>
    <col min="2" max="2" width="13.7109375" style="753" customWidth="1"/>
    <col min="3" max="3" width="8.28515625" style="753" customWidth="1"/>
    <col min="4" max="10" width="4.7109375" style="753" customWidth="1"/>
    <col min="11" max="13" width="4.28515625" style="753" customWidth="1"/>
    <col min="14" max="14" width="6.140625" style="753" customWidth="1"/>
    <col min="15" max="15" width="6" style="753" customWidth="1"/>
    <col min="16" max="16" width="12.28515625" style="753" customWidth="1"/>
    <col min="17" max="20" width="7.85546875" style="753" hidden="1" customWidth="1"/>
    <col min="21" max="22" width="5" style="753" hidden="1" customWidth="1"/>
    <col min="23" max="23" width="9.140625" style="753" hidden="1" customWidth="1"/>
    <col min="24" max="256" width="9.140625" style="753"/>
    <col min="257" max="257" width="7.28515625" style="753" customWidth="1"/>
    <col min="258" max="258" width="13.7109375" style="753" customWidth="1"/>
    <col min="259" max="259" width="8.28515625" style="753" customWidth="1"/>
    <col min="260" max="266" width="4.7109375" style="753" customWidth="1"/>
    <col min="267" max="269" width="4.28515625" style="753" customWidth="1"/>
    <col min="270" max="270" width="6.140625" style="753" customWidth="1"/>
    <col min="271" max="271" width="6" style="753" customWidth="1"/>
    <col min="272" max="272" width="12.28515625" style="753" customWidth="1"/>
    <col min="273" max="273" width="9.140625" style="753" customWidth="1"/>
    <col min="274" max="274" width="3.85546875" style="753" customWidth="1"/>
    <col min="275" max="277" width="9.140625" style="753" customWidth="1"/>
    <col min="278" max="512" width="9.140625" style="753"/>
    <col min="513" max="513" width="7.28515625" style="753" customWidth="1"/>
    <col min="514" max="514" width="13.7109375" style="753" customWidth="1"/>
    <col min="515" max="515" width="8.28515625" style="753" customWidth="1"/>
    <col min="516" max="522" width="4.7109375" style="753" customWidth="1"/>
    <col min="523" max="525" width="4.28515625" style="753" customWidth="1"/>
    <col min="526" max="526" width="6.140625" style="753" customWidth="1"/>
    <col min="527" max="527" width="6" style="753" customWidth="1"/>
    <col min="528" max="528" width="12.28515625" style="753" customWidth="1"/>
    <col min="529" max="529" width="9.140625" style="753" customWidth="1"/>
    <col min="530" max="530" width="3.85546875" style="753" customWidth="1"/>
    <col min="531" max="533" width="9.140625" style="753" customWidth="1"/>
    <col min="534" max="768" width="9.140625" style="753"/>
    <col min="769" max="769" width="7.28515625" style="753" customWidth="1"/>
    <col min="770" max="770" width="13.7109375" style="753" customWidth="1"/>
    <col min="771" max="771" width="8.28515625" style="753" customWidth="1"/>
    <col min="772" max="778" width="4.7109375" style="753" customWidth="1"/>
    <col min="779" max="781" width="4.28515625" style="753" customWidth="1"/>
    <col min="782" max="782" width="6.140625" style="753" customWidth="1"/>
    <col min="783" max="783" width="6" style="753" customWidth="1"/>
    <col min="784" max="784" width="12.28515625" style="753" customWidth="1"/>
    <col min="785" max="785" width="9.140625" style="753" customWidth="1"/>
    <col min="786" max="786" width="3.85546875" style="753" customWidth="1"/>
    <col min="787" max="789" width="9.140625" style="753" customWidth="1"/>
    <col min="790" max="1024" width="9.140625" style="753"/>
    <col min="1025" max="1025" width="7.28515625" style="753" customWidth="1"/>
    <col min="1026" max="1026" width="13.7109375" style="753" customWidth="1"/>
    <col min="1027" max="1027" width="8.28515625" style="753" customWidth="1"/>
    <col min="1028" max="1034" width="4.7109375" style="753" customWidth="1"/>
    <col min="1035" max="1037" width="4.28515625" style="753" customWidth="1"/>
    <col min="1038" max="1038" width="6.140625" style="753" customWidth="1"/>
    <col min="1039" max="1039" width="6" style="753" customWidth="1"/>
    <col min="1040" max="1040" width="12.28515625" style="753" customWidth="1"/>
    <col min="1041" max="1041" width="9.140625" style="753" customWidth="1"/>
    <col min="1042" max="1042" width="3.85546875" style="753" customWidth="1"/>
    <col min="1043" max="1045" width="9.140625" style="753" customWidth="1"/>
    <col min="1046" max="1280" width="9.140625" style="753"/>
    <col min="1281" max="1281" width="7.28515625" style="753" customWidth="1"/>
    <col min="1282" max="1282" width="13.7109375" style="753" customWidth="1"/>
    <col min="1283" max="1283" width="8.28515625" style="753" customWidth="1"/>
    <col min="1284" max="1290" width="4.7109375" style="753" customWidth="1"/>
    <col min="1291" max="1293" width="4.28515625" style="753" customWidth="1"/>
    <col min="1294" max="1294" width="6.140625" style="753" customWidth="1"/>
    <col min="1295" max="1295" width="6" style="753" customWidth="1"/>
    <col min="1296" max="1296" width="12.28515625" style="753" customWidth="1"/>
    <col min="1297" max="1297" width="9.140625" style="753" customWidth="1"/>
    <col min="1298" max="1298" width="3.85546875" style="753" customWidth="1"/>
    <col min="1299" max="1301" width="9.140625" style="753" customWidth="1"/>
    <col min="1302" max="1536" width="9.140625" style="753"/>
    <col min="1537" max="1537" width="7.28515625" style="753" customWidth="1"/>
    <col min="1538" max="1538" width="13.7109375" style="753" customWidth="1"/>
    <col min="1539" max="1539" width="8.28515625" style="753" customWidth="1"/>
    <col min="1540" max="1546" width="4.7109375" style="753" customWidth="1"/>
    <col min="1547" max="1549" width="4.28515625" style="753" customWidth="1"/>
    <col min="1550" max="1550" width="6.140625" style="753" customWidth="1"/>
    <col min="1551" max="1551" width="6" style="753" customWidth="1"/>
    <col min="1552" max="1552" width="12.28515625" style="753" customWidth="1"/>
    <col min="1553" max="1553" width="9.140625" style="753" customWidth="1"/>
    <col min="1554" max="1554" width="3.85546875" style="753" customWidth="1"/>
    <col min="1555" max="1557" width="9.140625" style="753" customWidth="1"/>
    <col min="1558" max="1792" width="9.140625" style="753"/>
    <col min="1793" max="1793" width="7.28515625" style="753" customWidth="1"/>
    <col min="1794" max="1794" width="13.7109375" style="753" customWidth="1"/>
    <col min="1795" max="1795" width="8.28515625" style="753" customWidth="1"/>
    <col min="1796" max="1802" width="4.7109375" style="753" customWidth="1"/>
    <col min="1803" max="1805" width="4.28515625" style="753" customWidth="1"/>
    <col min="1806" max="1806" width="6.140625" style="753" customWidth="1"/>
    <col min="1807" max="1807" width="6" style="753" customWidth="1"/>
    <col min="1808" max="1808" width="12.28515625" style="753" customWidth="1"/>
    <col min="1809" max="1809" width="9.140625" style="753" customWidth="1"/>
    <col min="1810" max="1810" width="3.85546875" style="753" customWidth="1"/>
    <col min="1811" max="1813" width="9.140625" style="753" customWidth="1"/>
    <col min="1814" max="2048" width="9.140625" style="753"/>
    <col min="2049" max="2049" width="7.28515625" style="753" customWidth="1"/>
    <col min="2050" max="2050" width="13.7109375" style="753" customWidth="1"/>
    <col min="2051" max="2051" width="8.28515625" style="753" customWidth="1"/>
    <col min="2052" max="2058" width="4.7109375" style="753" customWidth="1"/>
    <col min="2059" max="2061" width="4.28515625" style="753" customWidth="1"/>
    <col min="2062" max="2062" width="6.140625" style="753" customWidth="1"/>
    <col min="2063" max="2063" width="6" style="753" customWidth="1"/>
    <col min="2064" max="2064" width="12.28515625" style="753" customWidth="1"/>
    <col min="2065" max="2065" width="9.140625" style="753" customWidth="1"/>
    <col min="2066" max="2066" width="3.85546875" style="753" customWidth="1"/>
    <col min="2067" max="2069" width="9.140625" style="753" customWidth="1"/>
    <col min="2070" max="2304" width="9.140625" style="753"/>
    <col min="2305" max="2305" width="7.28515625" style="753" customWidth="1"/>
    <col min="2306" max="2306" width="13.7109375" style="753" customWidth="1"/>
    <col min="2307" max="2307" width="8.28515625" style="753" customWidth="1"/>
    <col min="2308" max="2314" width="4.7109375" style="753" customWidth="1"/>
    <col min="2315" max="2317" width="4.28515625" style="753" customWidth="1"/>
    <col min="2318" max="2318" width="6.140625" style="753" customWidth="1"/>
    <col min="2319" max="2319" width="6" style="753" customWidth="1"/>
    <col min="2320" max="2320" width="12.28515625" style="753" customWidth="1"/>
    <col min="2321" max="2321" width="9.140625" style="753" customWidth="1"/>
    <col min="2322" max="2322" width="3.85546875" style="753" customWidth="1"/>
    <col min="2323" max="2325" width="9.140625" style="753" customWidth="1"/>
    <col min="2326" max="2560" width="9.140625" style="753"/>
    <col min="2561" max="2561" width="7.28515625" style="753" customWidth="1"/>
    <col min="2562" max="2562" width="13.7109375" style="753" customWidth="1"/>
    <col min="2563" max="2563" width="8.28515625" style="753" customWidth="1"/>
    <col min="2564" max="2570" width="4.7109375" style="753" customWidth="1"/>
    <col min="2571" max="2573" width="4.28515625" style="753" customWidth="1"/>
    <col min="2574" max="2574" width="6.140625" style="753" customWidth="1"/>
    <col min="2575" max="2575" width="6" style="753" customWidth="1"/>
    <col min="2576" max="2576" width="12.28515625" style="753" customWidth="1"/>
    <col min="2577" max="2577" width="9.140625" style="753" customWidth="1"/>
    <col min="2578" max="2578" width="3.85546875" style="753" customWidth="1"/>
    <col min="2579" max="2581" width="9.140625" style="753" customWidth="1"/>
    <col min="2582" max="2816" width="9.140625" style="753"/>
    <col min="2817" max="2817" width="7.28515625" style="753" customWidth="1"/>
    <col min="2818" max="2818" width="13.7109375" style="753" customWidth="1"/>
    <col min="2819" max="2819" width="8.28515625" style="753" customWidth="1"/>
    <col min="2820" max="2826" width="4.7109375" style="753" customWidth="1"/>
    <col min="2827" max="2829" width="4.28515625" style="753" customWidth="1"/>
    <col min="2830" max="2830" width="6.140625" style="753" customWidth="1"/>
    <col min="2831" max="2831" width="6" style="753" customWidth="1"/>
    <col min="2832" max="2832" width="12.28515625" style="753" customWidth="1"/>
    <col min="2833" max="2833" width="9.140625" style="753" customWidth="1"/>
    <col min="2834" max="2834" width="3.85546875" style="753" customWidth="1"/>
    <col min="2835" max="2837" width="9.140625" style="753" customWidth="1"/>
    <col min="2838" max="3072" width="9.140625" style="753"/>
    <col min="3073" max="3073" width="7.28515625" style="753" customWidth="1"/>
    <col min="3074" max="3074" width="13.7109375" style="753" customWidth="1"/>
    <col min="3075" max="3075" width="8.28515625" style="753" customWidth="1"/>
    <col min="3076" max="3082" width="4.7109375" style="753" customWidth="1"/>
    <col min="3083" max="3085" width="4.28515625" style="753" customWidth="1"/>
    <col min="3086" max="3086" width="6.140625" style="753" customWidth="1"/>
    <col min="3087" max="3087" width="6" style="753" customWidth="1"/>
    <col min="3088" max="3088" width="12.28515625" style="753" customWidth="1"/>
    <col min="3089" max="3089" width="9.140625" style="753" customWidth="1"/>
    <col min="3090" max="3090" width="3.85546875" style="753" customWidth="1"/>
    <col min="3091" max="3093" width="9.140625" style="753" customWidth="1"/>
    <col min="3094" max="3328" width="9.140625" style="753"/>
    <col min="3329" max="3329" width="7.28515625" style="753" customWidth="1"/>
    <col min="3330" max="3330" width="13.7109375" style="753" customWidth="1"/>
    <col min="3331" max="3331" width="8.28515625" style="753" customWidth="1"/>
    <col min="3332" max="3338" width="4.7109375" style="753" customWidth="1"/>
    <col min="3339" max="3341" width="4.28515625" style="753" customWidth="1"/>
    <col min="3342" max="3342" width="6.140625" style="753" customWidth="1"/>
    <col min="3343" max="3343" width="6" style="753" customWidth="1"/>
    <col min="3344" max="3344" width="12.28515625" style="753" customWidth="1"/>
    <col min="3345" max="3345" width="9.140625" style="753" customWidth="1"/>
    <col min="3346" max="3346" width="3.85546875" style="753" customWidth="1"/>
    <col min="3347" max="3349" width="9.140625" style="753" customWidth="1"/>
    <col min="3350" max="3584" width="9.140625" style="753"/>
    <col min="3585" max="3585" width="7.28515625" style="753" customWidth="1"/>
    <col min="3586" max="3586" width="13.7109375" style="753" customWidth="1"/>
    <col min="3587" max="3587" width="8.28515625" style="753" customWidth="1"/>
    <col min="3588" max="3594" width="4.7109375" style="753" customWidth="1"/>
    <col min="3595" max="3597" width="4.28515625" style="753" customWidth="1"/>
    <col min="3598" max="3598" width="6.140625" style="753" customWidth="1"/>
    <col min="3599" max="3599" width="6" style="753" customWidth="1"/>
    <col min="3600" max="3600" width="12.28515625" style="753" customWidth="1"/>
    <col min="3601" max="3601" width="9.140625" style="753" customWidth="1"/>
    <col min="3602" max="3602" width="3.85546875" style="753" customWidth="1"/>
    <col min="3603" max="3605" width="9.140625" style="753" customWidth="1"/>
    <col min="3606" max="3840" width="9.140625" style="753"/>
    <col min="3841" max="3841" width="7.28515625" style="753" customWidth="1"/>
    <col min="3842" max="3842" width="13.7109375" style="753" customWidth="1"/>
    <col min="3843" max="3843" width="8.28515625" style="753" customWidth="1"/>
    <col min="3844" max="3850" width="4.7109375" style="753" customWidth="1"/>
    <col min="3851" max="3853" width="4.28515625" style="753" customWidth="1"/>
    <col min="3854" max="3854" width="6.140625" style="753" customWidth="1"/>
    <col min="3855" max="3855" width="6" style="753" customWidth="1"/>
    <col min="3856" max="3856" width="12.28515625" style="753" customWidth="1"/>
    <col min="3857" max="3857" width="9.140625" style="753" customWidth="1"/>
    <col min="3858" max="3858" width="3.85546875" style="753" customWidth="1"/>
    <col min="3859" max="3861" width="9.140625" style="753" customWidth="1"/>
    <col min="3862" max="4096" width="9.140625" style="753"/>
    <col min="4097" max="4097" width="7.28515625" style="753" customWidth="1"/>
    <col min="4098" max="4098" width="13.7109375" style="753" customWidth="1"/>
    <col min="4099" max="4099" width="8.28515625" style="753" customWidth="1"/>
    <col min="4100" max="4106" width="4.7109375" style="753" customWidth="1"/>
    <col min="4107" max="4109" width="4.28515625" style="753" customWidth="1"/>
    <col min="4110" max="4110" width="6.140625" style="753" customWidth="1"/>
    <col min="4111" max="4111" width="6" style="753" customWidth="1"/>
    <col min="4112" max="4112" width="12.28515625" style="753" customWidth="1"/>
    <col min="4113" max="4113" width="9.140625" style="753" customWidth="1"/>
    <col min="4114" max="4114" width="3.85546875" style="753" customWidth="1"/>
    <col min="4115" max="4117" width="9.140625" style="753" customWidth="1"/>
    <col min="4118" max="4352" width="9.140625" style="753"/>
    <col min="4353" max="4353" width="7.28515625" style="753" customWidth="1"/>
    <col min="4354" max="4354" width="13.7109375" style="753" customWidth="1"/>
    <col min="4355" max="4355" width="8.28515625" style="753" customWidth="1"/>
    <col min="4356" max="4362" width="4.7109375" style="753" customWidth="1"/>
    <col min="4363" max="4365" width="4.28515625" style="753" customWidth="1"/>
    <col min="4366" max="4366" width="6.140625" style="753" customWidth="1"/>
    <col min="4367" max="4367" width="6" style="753" customWidth="1"/>
    <col min="4368" max="4368" width="12.28515625" style="753" customWidth="1"/>
    <col min="4369" max="4369" width="9.140625" style="753" customWidth="1"/>
    <col min="4370" max="4370" width="3.85546875" style="753" customWidth="1"/>
    <col min="4371" max="4373" width="9.140625" style="753" customWidth="1"/>
    <col min="4374" max="4608" width="9.140625" style="753"/>
    <col min="4609" max="4609" width="7.28515625" style="753" customWidth="1"/>
    <col min="4610" max="4610" width="13.7109375" style="753" customWidth="1"/>
    <col min="4611" max="4611" width="8.28515625" style="753" customWidth="1"/>
    <col min="4612" max="4618" width="4.7109375" style="753" customWidth="1"/>
    <col min="4619" max="4621" width="4.28515625" style="753" customWidth="1"/>
    <col min="4622" max="4622" width="6.140625" style="753" customWidth="1"/>
    <col min="4623" max="4623" width="6" style="753" customWidth="1"/>
    <col min="4624" max="4624" width="12.28515625" style="753" customWidth="1"/>
    <col min="4625" max="4625" width="9.140625" style="753" customWidth="1"/>
    <col min="4626" max="4626" width="3.85546875" style="753" customWidth="1"/>
    <col min="4627" max="4629" width="9.140625" style="753" customWidth="1"/>
    <col min="4630" max="4864" width="9.140625" style="753"/>
    <col min="4865" max="4865" width="7.28515625" style="753" customWidth="1"/>
    <col min="4866" max="4866" width="13.7109375" style="753" customWidth="1"/>
    <col min="4867" max="4867" width="8.28515625" style="753" customWidth="1"/>
    <col min="4868" max="4874" width="4.7109375" style="753" customWidth="1"/>
    <col min="4875" max="4877" width="4.28515625" style="753" customWidth="1"/>
    <col min="4878" max="4878" width="6.140625" style="753" customWidth="1"/>
    <col min="4879" max="4879" width="6" style="753" customWidth="1"/>
    <col min="4880" max="4880" width="12.28515625" style="753" customWidth="1"/>
    <col min="4881" max="4881" width="9.140625" style="753" customWidth="1"/>
    <col min="4882" max="4882" width="3.85546875" style="753" customWidth="1"/>
    <col min="4883" max="4885" width="9.140625" style="753" customWidth="1"/>
    <col min="4886" max="5120" width="9.140625" style="753"/>
    <col min="5121" max="5121" width="7.28515625" style="753" customWidth="1"/>
    <col min="5122" max="5122" width="13.7109375" style="753" customWidth="1"/>
    <col min="5123" max="5123" width="8.28515625" style="753" customWidth="1"/>
    <col min="5124" max="5130" width="4.7109375" style="753" customWidth="1"/>
    <col min="5131" max="5133" width="4.28515625" style="753" customWidth="1"/>
    <col min="5134" max="5134" width="6.140625" style="753" customWidth="1"/>
    <col min="5135" max="5135" width="6" style="753" customWidth="1"/>
    <col min="5136" max="5136" width="12.28515625" style="753" customWidth="1"/>
    <col min="5137" max="5137" width="9.140625" style="753" customWidth="1"/>
    <col min="5138" max="5138" width="3.85546875" style="753" customWidth="1"/>
    <col min="5139" max="5141" width="9.140625" style="753" customWidth="1"/>
    <col min="5142" max="5376" width="9.140625" style="753"/>
    <col min="5377" max="5377" width="7.28515625" style="753" customWidth="1"/>
    <col min="5378" max="5378" width="13.7109375" style="753" customWidth="1"/>
    <col min="5379" max="5379" width="8.28515625" style="753" customWidth="1"/>
    <col min="5380" max="5386" width="4.7109375" style="753" customWidth="1"/>
    <col min="5387" max="5389" width="4.28515625" style="753" customWidth="1"/>
    <col min="5390" max="5390" width="6.140625" style="753" customWidth="1"/>
    <col min="5391" max="5391" width="6" style="753" customWidth="1"/>
    <col min="5392" max="5392" width="12.28515625" style="753" customWidth="1"/>
    <col min="5393" max="5393" width="9.140625" style="753" customWidth="1"/>
    <col min="5394" max="5394" width="3.85546875" style="753" customWidth="1"/>
    <col min="5395" max="5397" width="9.140625" style="753" customWidth="1"/>
    <col min="5398" max="5632" width="9.140625" style="753"/>
    <col min="5633" max="5633" width="7.28515625" style="753" customWidth="1"/>
    <col min="5634" max="5634" width="13.7109375" style="753" customWidth="1"/>
    <col min="5635" max="5635" width="8.28515625" style="753" customWidth="1"/>
    <col min="5636" max="5642" width="4.7109375" style="753" customWidth="1"/>
    <col min="5643" max="5645" width="4.28515625" style="753" customWidth="1"/>
    <col min="5646" max="5646" width="6.140625" style="753" customWidth="1"/>
    <col min="5647" max="5647" width="6" style="753" customWidth="1"/>
    <col min="5648" max="5648" width="12.28515625" style="753" customWidth="1"/>
    <col min="5649" max="5649" width="9.140625" style="753" customWidth="1"/>
    <col min="5650" max="5650" width="3.85546875" style="753" customWidth="1"/>
    <col min="5651" max="5653" width="9.140625" style="753" customWidth="1"/>
    <col min="5654" max="5888" width="9.140625" style="753"/>
    <col min="5889" max="5889" width="7.28515625" style="753" customWidth="1"/>
    <col min="5890" max="5890" width="13.7109375" style="753" customWidth="1"/>
    <col min="5891" max="5891" width="8.28515625" style="753" customWidth="1"/>
    <col min="5892" max="5898" width="4.7109375" style="753" customWidth="1"/>
    <col min="5899" max="5901" width="4.28515625" style="753" customWidth="1"/>
    <col min="5902" max="5902" width="6.140625" style="753" customWidth="1"/>
    <col min="5903" max="5903" width="6" style="753" customWidth="1"/>
    <col min="5904" max="5904" width="12.28515625" style="753" customWidth="1"/>
    <col min="5905" max="5905" width="9.140625" style="753" customWidth="1"/>
    <col min="5906" max="5906" width="3.85546875" style="753" customWidth="1"/>
    <col min="5907" max="5909" width="9.140625" style="753" customWidth="1"/>
    <col min="5910" max="6144" width="9.140625" style="753"/>
    <col min="6145" max="6145" width="7.28515625" style="753" customWidth="1"/>
    <col min="6146" max="6146" width="13.7109375" style="753" customWidth="1"/>
    <col min="6147" max="6147" width="8.28515625" style="753" customWidth="1"/>
    <col min="6148" max="6154" width="4.7109375" style="753" customWidth="1"/>
    <col min="6155" max="6157" width="4.28515625" style="753" customWidth="1"/>
    <col min="6158" max="6158" width="6.140625" style="753" customWidth="1"/>
    <col min="6159" max="6159" width="6" style="753" customWidth="1"/>
    <col min="6160" max="6160" width="12.28515625" style="753" customWidth="1"/>
    <col min="6161" max="6161" width="9.140625" style="753" customWidth="1"/>
    <col min="6162" max="6162" width="3.85546875" style="753" customWidth="1"/>
    <col min="6163" max="6165" width="9.140625" style="753" customWidth="1"/>
    <col min="6166" max="6400" width="9.140625" style="753"/>
    <col min="6401" max="6401" width="7.28515625" style="753" customWidth="1"/>
    <col min="6402" max="6402" width="13.7109375" style="753" customWidth="1"/>
    <col min="6403" max="6403" width="8.28515625" style="753" customWidth="1"/>
    <col min="6404" max="6410" width="4.7109375" style="753" customWidth="1"/>
    <col min="6411" max="6413" width="4.28515625" style="753" customWidth="1"/>
    <col min="6414" max="6414" width="6.140625" style="753" customWidth="1"/>
    <col min="6415" max="6415" width="6" style="753" customWidth="1"/>
    <col min="6416" max="6416" width="12.28515625" style="753" customWidth="1"/>
    <col min="6417" max="6417" width="9.140625" style="753" customWidth="1"/>
    <col min="6418" max="6418" width="3.85546875" style="753" customWidth="1"/>
    <col min="6419" max="6421" width="9.140625" style="753" customWidth="1"/>
    <col min="6422" max="6656" width="9.140625" style="753"/>
    <col min="6657" max="6657" width="7.28515625" style="753" customWidth="1"/>
    <col min="6658" max="6658" width="13.7109375" style="753" customWidth="1"/>
    <col min="6659" max="6659" width="8.28515625" style="753" customWidth="1"/>
    <col min="6660" max="6666" width="4.7109375" style="753" customWidth="1"/>
    <col min="6667" max="6669" width="4.28515625" style="753" customWidth="1"/>
    <col min="6670" max="6670" width="6.140625" style="753" customWidth="1"/>
    <col min="6671" max="6671" width="6" style="753" customWidth="1"/>
    <col min="6672" max="6672" width="12.28515625" style="753" customWidth="1"/>
    <col min="6673" max="6673" width="9.140625" style="753" customWidth="1"/>
    <col min="6674" max="6674" width="3.85546875" style="753" customWidth="1"/>
    <col min="6675" max="6677" width="9.140625" style="753" customWidth="1"/>
    <col min="6678" max="6912" width="9.140625" style="753"/>
    <col min="6913" max="6913" width="7.28515625" style="753" customWidth="1"/>
    <col min="6914" max="6914" width="13.7109375" style="753" customWidth="1"/>
    <col min="6915" max="6915" width="8.28515625" style="753" customWidth="1"/>
    <col min="6916" max="6922" width="4.7109375" style="753" customWidth="1"/>
    <col min="6923" max="6925" width="4.28515625" style="753" customWidth="1"/>
    <col min="6926" max="6926" width="6.140625" style="753" customWidth="1"/>
    <col min="6927" max="6927" width="6" style="753" customWidth="1"/>
    <col min="6928" max="6928" width="12.28515625" style="753" customWidth="1"/>
    <col min="6929" max="6929" width="9.140625" style="753" customWidth="1"/>
    <col min="6930" max="6930" width="3.85546875" style="753" customWidth="1"/>
    <col min="6931" max="6933" width="9.140625" style="753" customWidth="1"/>
    <col min="6934" max="7168" width="9.140625" style="753"/>
    <col min="7169" max="7169" width="7.28515625" style="753" customWidth="1"/>
    <col min="7170" max="7170" width="13.7109375" style="753" customWidth="1"/>
    <col min="7171" max="7171" width="8.28515625" style="753" customWidth="1"/>
    <col min="7172" max="7178" width="4.7109375" style="753" customWidth="1"/>
    <col min="7179" max="7181" width="4.28515625" style="753" customWidth="1"/>
    <col min="7182" max="7182" width="6.140625" style="753" customWidth="1"/>
    <col min="7183" max="7183" width="6" style="753" customWidth="1"/>
    <col min="7184" max="7184" width="12.28515625" style="753" customWidth="1"/>
    <col min="7185" max="7185" width="9.140625" style="753" customWidth="1"/>
    <col min="7186" max="7186" width="3.85546875" style="753" customWidth="1"/>
    <col min="7187" max="7189" width="9.140625" style="753" customWidth="1"/>
    <col min="7190" max="7424" width="9.140625" style="753"/>
    <col min="7425" max="7425" width="7.28515625" style="753" customWidth="1"/>
    <col min="7426" max="7426" width="13.7109375" style="753" customWidth="1"/>
    <col min="7427" max="7427" width="8.28515625" style="753" customWidth="1"/>
    <col min="7428" max="7434" width="4.7109375" style="753" customWidth="1"/>
    <col min="7435" max="7437" width="4.28515625" style="753" customWidth="1"/>
    <col min="7438" max="7438" width="6.140625" style="753" customWidth="1"/>
    <col min="7439" max="7439" width="6" style="753" customWidth="1"/>
    <col min="7440" max="7440" width="12.28515625" style="753" customWidth="1"/>
    <col min="7441" max="7441" width="9.140625" style="753" customWidth="1"/>
    <col min="7442" max="7442" width="3.85546875" style="753" customWidth="1"/>
    <col min="7443" max="7445" width="9.140625" style="753" customWidth="1"/>
    <col min="7446" max="7680" width="9.140625" style="753"/>
    <col min="7681" max="7681" width="7.28515625" style="753" customWidth="1"/>
    <col min="7682" max="7682" width="13.7109375" style="753" customWidth="1"/>
    <col min="7683" max="7683" width="8.28515625" style="753" customWidth="1"/>
    <col min="7684" max="7690" width="4.7109375" style="753" customWidth="1"/>
    <col min="7691" max="7693" width="4.28515625" style="753" customWidth="1"/>
    <col min="7694" max="7694" width="6.140625" style="753" customWidth="1"/>
    <col min="7695" max="7695" width="6" style="753" customWidth="1"/>
    <col min="7696" max="7696" width="12.28515625" style="753" customWidth="1"/>
    <col min="7697" max="7697" width="9.140625" style="753" customWidth="1"/>
    <col min="7698" max="7698" width="3.85546875" style="753" customWidth="1"/>
    <col min="7699" max="7701" width="9.140625" style="753" customWidth="1"/>
    <col min="7702" max="7936" width="9.140625" style="753"/>
    <col min="7937" max="7937" width="7.28515625" style="753" customWidth="1"/>
    <col min="7938" max="7938" width="13.7109375" style="753" customWidth="1"/>
    <col min="7939" max="7939" width="8.28515625" style="753" customWidth="1"/>
    <col min="7940" max="7946" width="4.7109375" style="753" customWidth="1"/>
    <col min="7947" max="7949" width="4.28515625" style="753" customWidth="1"/>
    <col min="7950" max="7950" width="6.140625" style="753" customWidth="1"/>
    <col min="7951" max="7951" width="6" style="753" customWidth="1"/>
    <col min="7952" max="7952" width="12.28515625" style="753" customWidth="1"/>
    <col min="7953" max="7953" width="9.140625" style="753" customWidth="1"/>
    <col min="7954" max="7954" width="3.85546875" style="753" customWidth="1"/>
    <col min="7955" max="7957" width="9.140625" style="753" customWidth="1"/>
    <col min="7958" max="8192" width="9.140625" style="753"/>
    <col min="8193" max="8193" width="7.28515625" style="753" customWidth="1"/>
    <col min="8194" max="8194" width="13.7109375" style="753" customWidth="1"/>
    <col min="8195" max="8195" width="8.28515625" style="753" customWidth="1"/>
    <col min="8196" max="8202" width="4.7109375" style="753" customWidth="1"/>
    <col min="8203" max="8205" width="4.28515625" style="753" customWidth="1"/>
    <col min="8206" max="8206" width="6.140625" style="753" customWidth="1"/>
    <col min="8207" max="8207" width="6" style="753" customWidth="1"/>
    <col min="8208" max="8208" width="12.28515625" style="753" customWidth="1"/>
    <col min="8209" max="8209" width="9.140625" style="753" customWidth="1"/>
    <col min="8210" max="8210" width="3.85546875" style="753" customWidth="1"/>
    <col min="8211" max="8213" width="9.140625" style="753" customWidth="1"/>
    <col min="8214" max="8448" width="9.140625" style="753"/>
    <col min="8449" max="8449" width="7.28515625" style="753" customWidth="1"/>
    <col min="8450" max="8450" width="13.7109375" style="753" customWidth="1"/>
    <col min="8451" max="8451" width="8.28515625" style="753" customWidth="1"/>
    <col min="8452" max="8458" width="4.7109375" style="753" customWidth="1"/>
    <col min="8459" max="8461" width="4.28515625" style="753" customWidth="1"/>
    <col min="8462" max="8462" width="6.140625" style="753" customWidth="1"/>
    <col min="8463" max="8463" width="6" style="753" customWidth="1"/>
    <col min="8464" max="8464" width="12.28515625" style="753" customWidth="1"/>
    <col min="8465" max="8465" width="9.140625" style="753" customWidth="1"/>
    <col min="8466" max="8466" width="3.85546875" style="753" customWidth="1"/>
    <col min="8467" max="8469" width="9.140625" style="753" customWidth="1"/>
    <col min="8470" max="8704" width="9.140625" style="753"/>
    <col min="8705" max="8705" width="7.28515625" style="753" customWidth="1"/>
    <col min="8706" max="8706" width="13.7109375" style="753" customWidth="1"/>
    <col min="8707" max="8707" width="8.28515625" style="753" customWidth="1"/>
    <col min="8708" max="8714" width="4.7109375" style="753" customWidth="1"/>
    <col min="8715" max="8717" width="4.28515625" style="753" customWidth="1"/>
    <col min="8718" max="8718" width="6.140625" style="753" customWidth="1"/>
    <col min="8719" max="8719" width="6" style="753" customWidth="1"/>
    <col min="8720" max="8720" width="12.28515625" style="753" customWidth="1"/>
    <col min="8721" max="8721" width="9.140625" style="753" customWidth="1"/>
    <col min="8722" max="8722" width="3.85546875" style="753" customWidth="1"/>
    <col min="8723" max="8725" width="9.140625" style="753" customWidth="1"/>
    <col min="8726" max="8960" width="9.140625" style="753"/>
    <col min="8961" max="8961" width="7.28515625" style="753" customWidth="1"/>
    <col min="8962" max="8962" width="13.7109375" style="753" customWidth="1"/>
    <col min="8963" max="8963" width="8.28515625" style="753" customWidth="1"/>
    <col min="8964" max="8970" width="4.7109375" style="753" customWidth="1"/>
    <col min="8971" max="8973" width="4.28515625" style="753" customWidth="1"/>
    <col min="8974" max="8974" width="6.140625" style="753" customWidth="1"/>
    <col min="8975" max="8975" width="6" style="753" customWidth="1"/>
    <col min="8976" max="8976" width="12.28515625" style="753" customWidth="1"/>
    <col min="8977" max="8977" width="9.140625" style="753" customWidth="1"/>
    <col min="8978" max="8978" width="3.85546875" style="753" customWidth="1"/>
    <col min="8979" max="8981" width="9.140625" style="753" customWidth="1"/>
    <col min="8982" max="9216" width="9.140625" style="753"/>
    <col min="9217" max="9217" width="7.28515625" style="753" customWidth="1"/>
    <col min="9218" max="9218" width="13.7109375" style="753" customWidth="1"/>
    <col min="9219" max="9219" width="8.28515625" style="753" customWidth="1"/>
    <col min="9220" max="9226" width="4.7109375" style="753" customWidth="1"/>
    <col min="9227" max="9229" width="4.28515625" style="753" customWidth="1"/>
    <col min="9230" max="9230" width="6.140625" style="753" customWidth="1"/>
    <col min="9231" max="9231" width="6" style="753" customWidth="1"/>
    <col min="9232" max="9232" width="12.28515625" style="753" customWidth="1"/>
    <col min="9233" max="9233" width="9.140625" style="753" customWidth="1"/>
    <col min="9234" max="9234" width="3.85546875" style="753" customWidth="1"/>
    <col min="9235" max="9237" width="9.140625" style="753" customWidth="1"/>
    <col min="9238" max="9472" width="9.140625" style="753"/>
    <col min="9473" max="9473" width="7.28515625" style="753" customWidth="1"/>
    <col min="9474" max="9474" width="13.7109375" style="753" customWidth="1"/>
    <col min="9475" max="9475" width="8.28515625" style="753" customWidth="1"/>
    <col min="9476" max="9482" width="4.7109375" style="753" customWidth="1"/>
    <col min="9483" max="9485" width="4.28515625" style="753" customWidth="1"/>
    <col min="9486" max="9486" width="6.140625" style="753" customWidth="1"/>
    <col min="9487" max="9487" width="6" style="753" customWidth="1"/>
    <col min="9488" max="9488" width="12.28515625" style="753" customWidth="1"/>
    <col min="9489" max="9489" width="9.140625" style="753" customWidth="1"/>
    <col min="9490" max="9490" width="3.85546875" style="753" customWidth="1"/>
    <col min="9491" max="9493" width="9.140625" style="753" customWidth="1"/>
    <col min="9494" max="9728" width="9.140625" style="753"/>
    <col min="9729" max="9729" width="7.28515625" style="753" customWidth="1"/>
    <col min="9730" max="9730" width="13.7109375" style="753" customWidth="1"/>
    <col min="9731" max="9731" width="8.28515625" style="753" customWidth="1"/>
    <col min="9732" max="9738" width="4.7109375" style="753" customWidth="1"/>
    <col min="9739" max="9741" width="4.28515625" style="753" customWidth="1"/>
    <col min="9742" max="9742" width="6.140625" style="753" customWidth="1"/>
    <col min="9743" max="9743" width="6" style="753" customWidth="1"/>
    <col min="9744" max="9744" width="12.28515625" style="753" customWidth="1"/>
    <col min="9745" max="9745" width="9.140625" style="753" customWidth="1"/>
    <col min="9746" max="9746" width="3.85546875" style="753" customWidth="1"/>
    <col min="9747" max="9749" width="9.140625" style="753" customWidth="1"/>
    <col min="9750" max="9984" width="9.140625" style="753"/>
    <col min="9985" max="9985" width="7.28515625" style="753" customWidth="1"/>
    <col min="9986" max="9986" width="13.7109375" style="753" customWidth="1"/>
    <col min="9987" max="9987" width="8.28515625" style="753" customWidth="1"/>
    <col min="9988" max="9994" width="4.7109375" style="753" customWidth="1"/>
    <col min="9995" max="9997" width="4.28515625" style="753" customWidth="1"/>
    <col min="9998" max="9998" width="6.140625" style="753" customWidth="1"/>
    <col min="9999" max="9999" width="6" style="753" customWidth="1"/>
    <col min="10000" max="10000" width="12.28515625" style="753" customWidth="1"/>
    <col min="10001" max="10001" width="9.140625" style="753" customWidth="1"/>
    <col min="10002" max="10002" width="3.85546875" style="753" customWidth="1"/>
    <col min="10003" max="10005" width="9.140625" style="753" customWidth="1"/>
    <col min="10006" max="10240" width="9.140625" style="753"/>
    <col min="10241" max="10241" width="7.28515625" style="753" customWidth="1"/>
    <col min="10242" max="10242" width="13.7109375" style="753" customWidth="1"/>
    <col min="10243" max="10243" width="8.28515625" style="753" customWidth="1"/>
    <col min="10244" max="10250" width="4.7109375" style="753" customWidth="1"/>
    <col min="10251" max="10253" width="4.28515625" style="753" customWidth="1"/>
    <col min="10254" max="10254" width="6.140625" style="753" customWidth="1"/>
    <col min="10255" max="10255" width="6" style="753" customWidth="1"/>
    <col min="10256" max="10256" width="12.28515625" style="753" customWidth="1"/>
    <col min="10257" max="10257" width="9.140625" style="753" customWidth="1"/>
    <col min="10258" max="10258" width="3.85546875" style="753" customWidth="1"/>
    <col min="10259" max="10261" width="9.140625" style="753" customWidth="1"/>
    <col min="10262" max="10496" width="9.140625" style="753"/>
    <col min="10497" max="10497" width="7.28515625" style="753" customWidth="1"/>
    <col min="10498" max="10498" width="13.7109375" style="753" customWidth="1"/>
    <col min="10499" max="10499" width="8.28515625" style="753" customWidth="1"/>
    <col min="10500" max="10506" width="4.7109375" style="753" customWidth="1"/>
    <col min="10507" max="10509" width="4.28515625" style="753" customWidth="1"/>
    <col min="10510" max="10510" width="6.140625" style="753" customWidth="1"/>
    <col min="10511" max="10511" width="6" style="753" customWidth="1"/>
    <col min="10512" max="10512" width="12.28515625" style="753" customWidth="1"/>
    <col min="10513" max="10513" width="9.140625" style="753" customWidth="1"/>
    <col min="10514" max="10514" width="3.85546875" style="753" customWidth="1"/>
    <col min="10515" max="10517" width="9.140625" style="753" customWidth="1"/>
    <col min="10518" max="10752" width="9.140625" style="753"/>
    <col min="10753" max="10753" width="7.28515625" style="753" customWidth="1"/>
    <col min="10754" max="10754" width="13.7109375" style="753" customWidth="1"/>
    <col min="10755" max="10755" width="8.28515625" style="753" customWidth="1"/>
    <col min="10756" max="10762" width="4.7109375" style="753" customWidth="1"/>
    <col min="10763" max="10765" width="4.28515625" style="753" customWidth="1"/>
    <col min="10766" max="10766" width="6.140625" style="753" customWidth="1"/>
    <col min="10767" max="10767" width="6" style="753" customWidth="1"/>
    <col min="10768" max="10768" width="12.28515625" style="753" customWidth="1"/>
    <col min="10769" max="10769" width="9.140625" style="753" customWidth="1"/>
    <col min="10770" max="10770" width="3.85546875" style="753" customWidth="1"/>
    <col min="10771" max="10773" width="9.140625" style="753" customWidth="1"/>
    <col min="10774" max="11008" width="9.140625" style="753"/>
    <col min="11009" max="11009" width="7.28515625" style="753" customWidth="1"/>
    <col min="11010" max="11010" width="13.7109375" style="753" customWidth="1"/>
    <col min="11011" max="11011" width="8.28515625" style="753" customWidth="1"/>
    <col min="11012" max="11018" width="4.7109375" style="753" customWidth="1"/>
    <col min="11019" max="11021" width="4.28515625" style="753" customWidth="1"/>
    <col min="11022" max="11022" width="6.140625" style="753" customWidth="1"/>
    <col min="11023" max="11023" width="6" style="753" customWidth="1"/>
    <col min="11024" max="11024" width="12.28515625" style="753" customWidth="1"/>
    <col min="11025" max="11025" width="9.140625" style="753" customWidth="1"/>
    <col min="11026" max="11026" width="3.85546875" style="753" customWidth="1"/>
    <col min="11027" max="11029" width="9.140625" style="753" customWidth="1"/>
    <col min="11030" max="11264" width="9.140625" style="753"/>
    <col min="11265" max="11265" width="7.28515625" style="753" customWidth="1"/>
    <col min="11266" max="11266" width="13.7109375" style="753" customWidth="1"/>
    <col min="11267" max="11267" width="8.28515625" style="753" customWidth="1"/>
    <col min="11268" max="11274" width="4.7109375" style="753" customWidth="1"/>
    <col min="11275" max="11277" width="4.28515625" style="753" customWidth="1"/>
    <col min="11278" max="11278" width="6.140625" style="753" customWidth="1"/>
    <col min="11279" max="11279" width="6" style="753" customWidth="1"/>
    <col min="11280" max="11280" width="12.28515625" style="753" customWidth="1"/>
    <col min="11281" max="11281" width="9.140625" style="753" customWidth="1"/>
    <col min="11282" max="11282" width="3.85546875" style="753" customWidth="1"/>
    <col min="11283" max="11285" width="9.140625" style="753" customWidth="1"/>
    <col min="11286" max="11520" width="9.140625" style="753"/>
    <col min="11521" max="11521" width="7.28515625" style="753" customWidth="1"/>
    <col min="11522" max="11522" width="13.7109375" style="753" customWidth="1"/>
    <col min="11523" max="11523" width="8.28515625" style="753" customWidth="1"/>
    <col min="11524" max="11530" width="4.7109375" style="753" customWidth="1"/>
    <col min="11531" max="11533" width="4.28515625" style="753" customWidth="1"/>
    <col min="11534" max="11534" width="6.140625" style="753" customWidth="1"/>
    <col min="11535" max="11535" width="6" style="753" customWidth="1"/>
    <col min="11536" max="11536" width="12.28515625" style="753" customWidth="1"/>
    <col min="11537" max="11537" width="9.140625" style="753" customWidth="1"/>
    <col min="11538" max="11538" width="3.85546875" style="753" customWidth="1"/>
    <col min="11539" max="11541" width="9.140625" style="753" customWidth="1"/>
    <col min="11542" max="11776" width="9.140625" style="753"/>
    <col min="11777" max="11777" width="7.28515625" style="753" customWidth="1"/>
    <col min="11778" max="11778" width="13.7109375" style="753" customWidth="1"/>
    <col min="11779" max="11779" width="8.28515625" style="753" customWidth="1"/>
    <col min="11780" max="11786" width="4.7109375" style="753" customWidth="1"/>
    <col min="11787" max="11789" width="4.28515625" style="753" customWidth="1"/>
    <col min="11790" max="11790" width="6.140625" style="753" customWidth="1"/>
    <col min="11791" max="11791" width="6" style="753" customWidth="1"/>
    <col min="11792" max="11792" width="12.28515625" style="753" customWidth="1"/>
    <col min="11793" max="11793" width="9.140625" style="753" customWidth="1"/>
    <col min="11794" max="11794" width="3.85546875" style="753" customWidth="1"/>
    <col min="11795" max="11797" width="9.140625" style="753" customWidth="1"/>
    <col min="11798" max="12032" width="9.140625" style="753"/>
    <col min="12033" max="12033" width="7.28515625" style="753" customWidth="1"/>
    <col min="12034" max="12034" width="13.7109375" style="753" customWidth="1"/>
    <col min="12035" max="12035" width="8.28515625" style="753" customWidth="1"/>
    <col min="12036" max="12042" width="4.7109375" style="753" customWidth="1"/>
    <col min="12043" max="12045" width="4.28515625" style="753" customWidth="1"/>
    <col min="12046" max="12046" width="6.140625" style="753" customWidth="1"/>
    <col min="12047" max="12047" width="6" style="753" customWidth="1"/>
    <col min="12048" max="12048" width="12.28515625" style="753" customWidth="1"/>
    <col min="12049" max="12049" width="9.140625" style="753" customWidth="1"/>
    <col min="12050" max="12050" width="3.85546875" style="753" customWidth="1"/>
    <col min="12051" max="12053" width="9.140625" style="753" customWidth="1"/>
    <col min="12054" max="12288" width="9.140625" style="753"/>
    <col min="12289" max="12289" width="7.28515625" style="753" customWidth="1"/>
    <col min="12290" max="12290" width="13.7109375" style="753" customWidth="1"/>
    <col min="12291" max="12291" width="8.28515625" style="753" customWidth="1"/>
    <col min="12292" max="12298" width="4.7109375" style="753" customWidth="1"/>
    <col min="12299" max="12301" width="4.28515625" style="753" customWidth="1"/>
    <col min="12302" max="12302" width="6.140625" style="753" customWidth="1"/>
    <col min="12303" max="12303" width="6" style="753" customWidth="1"/>
    <col min="12304" max="12304" width="12.28515625" style="753" customWidth="1"/>
    <col min="12305" max="12305" width="9.140625" style="753" customWidth="1"/>
    <col min="12306" max="12306" width="3.85546875" style="753" customWidth="1"/>
    <col min="12307" max="12309" width="9.140625" style="753" customWidth="1"/>
    <col min="12310" max="12544" width="9.140625" style="753"/>
    <col min="12545" max="12545" width="7.28515625" style="753" customWidth="1"/>
    <col min="12546" max="12546" width="13.7109375" style="753" customWidth="1"/>
    <col min="12547" max="12547" width="8.28515625" style="753" customWidth="1"/>
    <col min="12548" max="12554" width="4.7109375" style="753" customWidth="1"/>
    <col min="12555" max="12557" width="4.28515625" style="753" customWidth="1"/>
    <col min="12558" max="12558" width="6.140625" style="753" customWidth="1"/>
    <col min="12559" max="12559" width="6" style="753" customWidth="1"/>
    <col min="12560" max="12560" width="12.28515625" style="753" customWidth="1"/>
    <col min="12561" max="12561" width="9.140625" style="753" customWidth="1"/>
    <col min="12562" max="12562" width="3.85546875" style="753" customWidth="1"/>
    <col min="12563" max="12565" width="9.140625" style="753" customWidth="1"/>
    <col min="12566" max="12800" width="9.140625" style="753"/>
    <col min="12801" max="12801" width="7.28515625" style="753" customWidth="1"/>
    <col min="12802" max="12802" width="13.7109375" style="753" customWidth="1"/>
    <col min="12803" max="12803" width="8.28515625" style="753" customWidth="1"/>
    <col min="12804" max="12810" width="4.7109375" style="753" customWidth="1"/>
    <col min="12811" max="12813" width="4.28515625" style="753" customWidth="1"/>
    <col min="12814" max="12814" width="6.140625" style="753" customWidth="1"/>
    <col min="12815" max="12815" width="6" style="753" customWidth="1"/>
    <col min="12816" max="12816" width="12.28515625" style="753" customWidth="1"/>
    <col min="12817" max="12817" width="9.140625" style="753" customWidth="1"/>
    <col min="12818" max="12818" width="3.85546875" style="753" customWidth="1"/>
    <col min="12819" max="12821" width="9.140625" style="753" customWidth="1"/>
    <col min="12822" max="13056" width="9.140625" style="753"/>
    <col min="13057" max="13057" width="7.28515625" style="753" customWidth="1"/>
    <col min="13058" max="13058" width="13.7109375" style="753" customWidth="1"/>
    <col min="13059" max="13059" width="8.28515625" style="753" customWidth="1"/>
    <col min="13060" max="13066" width="4.7109375" style="753" customWidth="1"/>
    <col min="13067" max="13069" width="4.28515625" style="753" customWidth="1"/>
    <col min="13070" max="13070" width="6.140625" style="753" customWidth="1"/>
    <col min="13071" max="13071" width="6" style="753" customWidth="1"/>
    <col min="13072" max="13072" width="12.28515625" style="753" customWidth="1"/>
    <col min="13073" max="13073" width="9.140625" style="753" customWidth="1"/>
    <col min="13074" max="13074" width="3.85546875" style="753" customWidth="1"/>
    <col min="13075" max="13077" width="9.140625" style="753" customWidth="1"/>
    <col min="13078" max="13312" width="9.140625" style="753"/>
    <col min="13313" max="13313" width="7.28515625" style="753" customWidth="1"/>
    <col min="13314" max="13314" width="13.7109375" style="753" customWidth="1"/>
    <col min="13315" max="13315" width="8.28515625" style="753" customWidth="1"/>
    <col min="13316" max="13322" width="4.7109375" style="753" customWidth="1"/>
    <col min="13323" max="13325" width="4.28515625" style="753" customWidth="1"/>
    <col min="13326" max="13326" width="6.140625" style="753" customWidth="1"/>
    <col min="13327" max="13327" width="6" style="753" customWidth="1"/>
    <col min="13328" max="13328" width="12.28515625" style="753" customWidth="1"/>
    <col min="13329" max="13329" width="9.140625" style="753" customWidth="1"/>
    <col min="13330" max="13330" width="3.85546875" style="753" customWidth="1"/>
    <col min="13331" max="13333" width="9.140625" style="753" customWidth="1"/>
    <col min="13334" max="13568" width="9.140625" style="753"/>
    <col min="13569" max="13569" width="7.28515625" style="753" customWidth="1"/>
    <col min="13570" max="13570" width="13.7109375" style="753" customWidth="1"/>
    <col min="13571" max="13571" width="8.28515625" style="753" customWidth="1"/>
    <col min="13572" max="13578" width="4.7109375" style="753" customWidth="1"/>
    <col min="13579" max="13581" width="4.28515625" style="753" customWidth="1"/>
    <col min="13582" max="13582" width="6.140625" style="753" customWidth="1"/>
    <col min="13583" max="13583" width="6" style="753" customWidth="1"/>
    <col min="13584" max="13584" width="12.28515625" style="753" customWidth="1"/>
    <col min="13585" max="13585" width="9.140625" style="753" customWidth="1"/>
    <col min="13586" max="13586" width="3.85546875" style="753" customWidth="1"/>
    <col min="13587" max="13589" width="9.140625" style="753" customWidth="1"/>
    <col min="13590" max="13824" width="9.140625" style="753"/>
    <col min="13825" max="13825" width="7.28515625" style="753" customWidth="1"/>
    <col min="13826" max="13826" width="13.7109375" style="753" customWidth="1"/>
    <col min="13827" max="13827" width="8.28515625" style="753" customWidth="1"/>
    <col min="13828" max="13834" width="4.7109375" style="753" customWidth="1"/>
    <col min="13835" max="13837" width="4.28515625" style="753" customWidth="1"/>
    <col min="13838" max="13838" width="6.140625" style="753" customWidth="1"/>
    <col min="13839" max="13839" width="6" style="753" customWidth="1"/>
    <col min="13840" max="13840" width="12.28515625" style="753" customWidth="1"/>
    <col min="13841" max="13841" width="9.140625" style="753" customWidth="1"/>
    <col min="13842" max="13842" width="3.85546875" style="753" customWidth="1"/>
    <col min="13843" max="13845" width="9.140625" style="753" customWidth="1"/>
    <col min="13846" max="14080" width="9.140625" style="753"/>
    <col min="14081" max="14081" width="7.28515625" style="753" customWidth="1"/>
    <col min="14082" max="14082" width="13.7109375" style="753" customWidth="1"/>
    <col min="14083" max="14083" width="8.28515625" style="753" customWidth="1"/>
    <col min="14084" max="14090" width="4.7109375" style="753" customWidth="1"/>
    <col min="14091" max="14093" width="4.28515625" style="753" customWidth="1"/>
    <col min="14094" max="14094" width="6.140625" style="753" customWidth="1"/>
    <col min="14095" max="14095" width="6" style="753" customWidth="1"/>
    <col min="14096" max="14096" width="12.28515625" style="753" customWidth="1"/>
    <col min="14097" max="14097" width="9.140625" style="753" customWidth="1"/>
    <col min="14098" max="14098" width="3.85546875" style="753" customWidth="1"/>
    <col min="14099" max="14101" width="9.140625" style="753" customWidth="1"/>
    <col min="14102" max="14336" width="9.140625" style="753"/>
    <col min="14337" max="14337" width="7.28515625" style="753" customWidth="1"/>
    <col min="14338" max="14338" width="13.7109375" style="753" customWidth="1"/>
    <col min="14339" max="14339" width="8.28515625" style="753" customWidth="1"/>
    <col min="14340" max="14346" width="4.7109375" style="753" customWidth="1"/>
    <col min="14347" max="14349" width="4.28515625" style="753" customWidth="1"/>
    <col min="14350" max="14350" width="6.140625" style="753" customWidth="1"/>
    <col min="14351" max="14351" width="6" style="753" customWidth="1"/>
    <col min="14352" max="14352" width="12.28515625" style="753" customWidth="1"/>
    <col min="14353" max="14353" width="9.140625" style="753" customWidth="1"/>
    <col min="14354" max="14354" width="3.85546875" style="753" customWidth="1"/>
    <col min="14355" max="14357" width="9.140625" style="753" customWidth="1"/>
    <col min="14358" max="14592" width="9.140625" style="753"/>
    <col min="14593" max="14593" width="7.28515625" style="753" customWidth="1"/>
    <col min="14594" max="14594" width="13.7109375" style="753" customWidth="1"/>
    <col min="14595" max="14595" width="8.28515625" style="753" customWidth="1"/>
    <col min="14596" max="14602" width="4.7109375" style="753" customWidth="1"/>
    <col min="14603" max="14605" width="4.28515625" style="753" customWidth="1"/>
    <col min="14606" max="14606" width="6.140625" style="753" customWidth="1"/>
    <col min="14607" max="14607" width="6" style="753" customWidth="1"/>
    <col min="14608" max="14608" width="12.28515625" style="753" customWidth="1"/>
    <col min="14609" max="14609" width="9.140625" style="753" customWidth="1"/>
    <col min="14610" max="14610" width="3.85546875" style="753" customWidth="1"/>
    <col min="14611" max="14613" width="9.140625" style="753" customWidth="1"/>
    <col min="14614" max="14848" width="9.140625" style="753"/>
    <col min="14849" max="14849" width="7.28515625" style="753" customWidth="1"/>
    <col min="14850" max="14850" width="13.7109375" style="753" customWidth="1"/>
    <col min="14851" max="14851" width="8.28515625" style="753" customWidth="1"/>
    <col min="14852" max="14858" width="4.7109375" style="753" customWidth="1"/>
    <col min="14859" max="14861" width="4.28515625" style="753" customWidth="1"/>
    <col min="14862" max="14862" width="6.140625" style="753" customWidth="1"/>
    <col min="14863" max="14863" width="6" style="753" customWidth="1"/>
    <col min="14864" max="14864" width="12.28515625" style="753" customWidth="1"/>
    <col min="14865" max="14865" width="9.140625" style="753" customWidth="1"/>
    <col min="14866" max="14866" width="3.85546875" style="753" customWidth="1"/>
    <col min="14867" max="14869" width="9.140625" style="753" customWidth="1"/>
    <col min="14870" max="15104" width="9.140625" style="753"/>
    <col min="15105" max="15105" width="7.28515625" style="753" customWidth="1"/>
    <col min="15106" max="15106" width="13.7109375" style="753" customWidth="1"/>
    <col min="15107" max="15107" width="8.28515625" style="753" customWidth="1"/>
    <col min="15108" max="15114" width="4.7109375" style="753" customWidth="1"/>
    <col min="15115" max="15117" width="4.28515625" style="753" customWidth="1"/>
    <col min="15118" max="15118" width="6.140625" style="753" customWidth="1"/>
    <col min="15119" max="15119" width="6" style="753" customWidth="1"/>
    <col min="15120" max="15120" width="12.28515625" style="753" customWidth="1"/>
    <col min="15121" max="15121" width="9.140625" style="753" customWidth="1"/>
    <col min="15122" max="15122" width="3.85546875" style="753" customWidth="1"/>
    <col min="15123" max="15125" width="9.140625" style="753" customWidth="1"/>
    <col min="15126" max="15360" width="9.140625" style="753"/>
    <col min="15361" max="15361" width="7.28515625" style="753" customWidth="1"/>
    <col min="15362" max="15362" width="13.7109375" style="753" customWidth="1"/>
    <col min="15363" max="15363" width="8.28515625" style="753" customWidth="1"/>
    <col min="15364" max="15370" width="4.7109375" style="753" customWidth="1"/>
    <col min="15371" max="15373" width="4.28515625" style="753" customWidth="1"/>
    <col min="15374" max="15374" width="6.140625" style="753" customWidth="1"/>
    <col min="15375" max="15375" width="6" style="753" customWidth="1"/>
    <col min="15376" max="15376" width="12.28515625" style="753" customWidth="1"/>
    <col min="15377" max="15377" width="9.140625" style="753" customWidth="1"/>
    <col min="15378" max="15378" width="3.85546875" style="753" customWidth="1"/>
    <col min="15379" max="15381" width="9.140625" style="753" customWidth="1"/>
    <col min="15382" max="15616" width="9.140625" style="753"/>
    <col min="15617" max="15617" width="7.28515625" style="753" customWidth="1"/>
    <col min="15618" max="15618" width="13.7109375" style="753" customWidth="1"/>
    <col min="15619" max="15619" width="8.28515625" style="753" customWidth="1"/>
    <col min="15620" max="15626" width="4.7109375" style="753" customWidth="1"/>
    <col min="15627" max="15629" width="4.28515625" style="753" customWidth="1"/>
    <col min="15630" max="15630" width="6.140625" style="753" customWidth="1"/>
    <col min="15631" max="15631" width="6" style="753" customWidth="1"/>
    <col min="15632" max="15632" width="12.28515625" style="753" customWidth="1"/>
    <col min="15633" max="15633" width="9.140625" style="753" customWidth="1"/>
    <col min="15634" max="15634" width="3.85546875" style="753" customWidth="1"/>
    <col min="15635" max="15637" width="9.140625" style="753" customWidth="1"/>
    <col min="15638" max="15872" width="9.140625" style="753"/>
    <col min="15873" max="15873" width="7.28515625" style="753" customWidth="1"/>
    <col min="15874" max="15874" width="13.7109375" style="753" customWidth="1"/>
    <col min="15875" max="15875" width="8.28515625" style="753" customWidth="1"/>
    <col min="15876" max="15882" width="4.7109375" style="753" customWidth="1"/>
    <col min="15883" max="15885" width="4.28515625" style="753" customWidth="1"/>
    <col min="15886" max="15886" width="6.140625" style="753" customWidth="1"/>
    <col min="15887" max="15887" width="6" style="753" customWidth="1"/>
    <col min="15888" max="15888" width="12.28515625" style="753" customWidth="1"/>
    <col min="15889" max="15889" width="9.140625" style="753" customWidth="1"/>
    <col min="15890" max="15890" width="3.85546875" style="753" customWidth="1"/>
    <col min="15891" max="15893" width="9.140625" style="753" customWidth="1"/>
    <col min="15894" max="16128" width="9.140625" style="753"/>
    <col min="16129" max="16129" width="7.28515625" style="753" customWidth="1"/>
    <col min="16130" max="16130" width="13.7109375" style="753" customWidth="1"/>
    <col min="16131" max="16131" width="8.28515625" style="753" customWidth="1"/>
    <col min="16132" max="16138" width="4.7109375" style="753" customWidth="1"/>
    <col min="16139" max="16141" width="4.28515625" style="753" customWidth="1"/>
    <col min="16142" max="16142" width="6.140625" style="753" customWidth="1"/>
    <col min="16143" max="16143" width="6" style="753" customWidth="1"/>
    <col min="16144" max="16144" width="12.28515625" style="753" customWidth="1"/>
    <col min="16145" max="16145" width="9.140625" style="753" customWidth="1"/>
    <col min="16146" max="16146" width="3.85546875" style="753" customWidth="1"/>
    <col min="16147" max="16149" width="9.140625" style="753" customWidth="1"/>
    <col min="16150" max="16384" width="9.140625" style="753"/>
  </cols>
  <sheetData>
    <row r="1" spans="1:20" ht="20.25" x14ac:dyDescent="0.3">
      <c r="A1" s="752" t="s">
        <v>1</v>
      </c>
      <c r="C1" s="754" t="s">
        <v>645</v>
      </c>
      <c r="O1" s="754" t="str">
        <f ca="1">MID(CELL("filename",A1),FIND("]",CELL("filename",A1))+1,255)</f>
        <v>T1</v>
      </c>
    </row>
    <row r="2" spans="1:20" ht="13.5" thickBot="1" x14ac:dyDescent="0.25">
      <c r="Q2" s="753" t="s">
        <v>446</v>
      </c>
    </row>
    <row r="3" spans="1:20" ht="18.75" thickBot="1" x14ac:dyDescent="0.3">
      <c r="B3" s="755" t="s">
        <v>646</v>
      </c>
      <c r="C3" s="1010" t="str">
        <f>Fältkort!H89</f>
        <v>Vårkorn</v>
      </c>
      <c r="D3" s="1011"/>
      <c r="E3" s="1012"/>
      <c r="L3" s="756" t="s">
        <v>647</v>
      </c>
      <c r="Q3" s="753" t="s">
        <v>249</v>
      </c>
    </row>
    <row r="4" spans="1:20" x14ac:dyDescent="0.2">
      <c r="Q4" s="753" t="s">
        <v>246</v>
      </c>
    </row>
    <row r="5" spans="1:20" x14ac:dyDescent="0.2">
      <c r="A5" s="1013" t="s">
        <v>648</v>
      </c>
      <c r="B5" s="1013"/>
      <c r="C5" s="1014" t="s">
        <v>155</v>
      </c>
      <c r="D5" s="1015"/>
      <c r="E5" s="1016"/>
      <c r="F5" s="1017" t="s">
        <v>649</v>
      </c>
      <c r="G5" s="1018"/>
      <c r="H5" s="1019"/>
      <c r="I5" s="1020" t="s">
        <v>46</v>
      </c>
      <c r="J5" s="1020"/>
      <c r="K5" s="1020"/>
      <c r="L5" s="1017"/>
      <c r="M5" s="1020" t="s">
        <v>650</v>
      </c>
      <c r="N5" s="1020"/>
      <c r="Q5" s="753" t="s">
        <v>248</v>
      </c>
    </row>
    <row r="6" spans="1:20" ht="25.5" customHeight="1" x14ac:dyDescent="0.25">
      <c r="A6" s="1021" t="str">
        <f>Fältkort!H91</f>
        <v>HUG066</v>
      </c>
      <c r="B6" s="1021"/>
      <c r="C6" s="1022" t="str">
        <f>Fältkort!H94</f>
        <v>M-658-2014</v>
      </c>
      <c r="D6" s="1023"/>
      <c r="E6" s="1024"/>
      <c r="F6" s="1025"/>
      <c r="G6" s="1026"/>
      <c r="H6" s="1027"/>
      <c r="I6" s="1025"/>
      <c r="J6" s="1026"/>
      <c r="K6" s="1026"/>
      <c r="L6" s="1026"/>
      <c r="M6" s="1028"/>
      <c r="N6" s="1028"/>
      <c r="Q6" s="753" t="s">
        <v>250</v>
      </c>
    </row>
    <row r="7" spans="1:20" ht="25.5" customHeight="1" x14ac:dyDescent="0.2">
      <c r="D7" s="1009" t="s">
        <v>1417</v>
      </c>
      <c r="E7" s="1009"/>
      <c r="F7" s="1009"/>
      <c r="G7" s="1009"/>
      <c r="H7" s="1009"/>
      <c r="I7" s="1009"/>
      <c r="J7" s="1009"/>
      <c r="K7" s="1009"/>
      <c r="L7" s="1009"/>
      <c r="M7" s="1009"/>
      <c r="N7" s="1009"/>
      <c r="Q7" s="753" t="s">
        <v>247</v>
      </c>
    </row>
    <row r="8" spans="1:20" ht="14.25" customHeight="1" x14ac:dyDescent="0.2">
      <c r="C8" s="800" t="s">
        <v>1395</v>
      </c>
      <c r="D8" s="801">
        <v>0.5</v>
      </c>
      <c r="E8" s="801">
        <v>1</v>
      </c>
      <c r="F8" s="801">
        <v>2</v>
      </c>
      <c r="G8" s="801">
        <v>0.1</v>
      </c>
      <c r="H8" s="801">
        <v>1</v>
      </c>
      <c r="I8" s="801">
        <v>2</v>
      </c>
      <c r="J8" s="801" t="s">
        <v>1416</v>
      </c>
      <c r="K8" s="801" t="s">
        <v>1416</v>
      </c>
      <c r="L8" s="801"/>
      <c r="M8" s="801"/>
      <c r="N8" s="802"/>
    </row>
    <row r="9" spans="1:20" x14ac:dyDescent="0.2">
      <c r="B9" s="757" t="s">
        <v>651</v>
      </c>
      <c r="C9" s="758" t="s">
        <v>652</v>
      </c>
      <c r="D9" s="1029" t="s">
        <v>653</v>
      </c>
      <c r="E9" s="1030"/>
      <c r="F9" s="1030"/>
      <c r="G9" s="1030"/>
      <c r="H9" s="1030"/>
      <c r="I9" s="1030"/>
      <c r="J9" s="1030"/>
      <c r="K9" s="1030"/>
      <c r="L9" s="1030"/>
      <c r="M9" s="1030"/>
      <c r="O9" s="753" t="s">
        <v>654</v>
      </c>
      <c r="Q9" s="753" t="s">
        <v>251</v>
      </c>
    </row>
    <row r="10" spans="1:20" ht="13.5" thickBot="1" x14ac:dyDescent="0.25">
      <c r="A10" s="759"/>
      <c r="B10" s="759"/>
      <c r="C10" s="760" t="s">
        <v>655</v>
      </c>
      <c r="D10" s="761">
        <v>1</v>
      </c>
      <c r="E10" s="761">
        <v>2</v>
      </c>
      <c r="F10" s="761">
        <v>3</v>
      </c>
      <c r="G10" s="761">
        <v>4</v>
      </c>
      <c r="H10" s="761">
        <v>5</v>
      </c>
      <c r="I10" s="761">
        <v>6</v>
      </c>
      <c r="J10" s="761">
        <v>7</v>
      </c>
      <c r="K10" s="761">
        <v>8</v>
      </c>
      <c r="L10" s="761">
        <v>9</v>
      </c>
      <c r="M10" s="761">
        <v>10</v>
      </c>
      <c r="N10" s="761" t="s">
        <v>656</v>
      </c>
      <c r="O10" s="761" t="s">
        <v>657</v>
      </c>
    </row>
    <row r="11" spans="1:20" x14ac:dyDescent="0.2">
      <c r="A11" s="763" t="s">
        <v>658</v>
      </c>
      <c r="B11" s="764" t="str">
        <f>IF(OR($C$3="Höstvete",$C$3="Vårvete",$C$3="Rågvete"),T11,IF($C$3="Råg",T16,IF(OR($C$3="Vårkorn",$C$3="Höstkorn"),T21,T26)))</f>
        <v>Mjöldagg</v>
      </c>
      <c r="C11" s="765">
        <v>1</v>
      </c>
      <c r="D11" s="766"/>
      <c r="E11" s="766"/>
      <c r="F11" s="766"/>
      <c r="G11" s="766"/>
      <c r="H11" s="766"/>
      <c r="I11" s="766"/>
      <c r="J11" s="766"/>
      <c r="K11" s="766"/>
      <c r="L11" s="766"/>
      <c r="M11" s="766"/>
      <c r="N11" s="767">
        <f>SUM(D11:M11)/(10-O$23)</f>
        <v>0</v>
      </c>
      <c r="O11" s="768"/>
      <c r="Q11" s="753" t="s">
        <v>659</v>
      </c>
      <c r="R11" s="753">
        <v>1</v>
      </c>
      <c r="S11" s="769" t="s">
        <v>660</v>
      </c>
      <c r="T11" s="764" t="s">
        <v>661</v>
      </c>
    </row>
    <row r="12" spans="1:20" x14ac:dyDescent="0.2">
      <c r="A12" s="770" t="s">
        <v>662</v>
      </c>
      <c r="B12" s="769" t="str">
        <f>IF(OR($C$3="Höstvete",$C$3="Vårvete",$C$3="Rågvete"),S11,IF($C$3="Råg",S16,IF(OR($C$3="Vårkorn",$C$3="Höstkorn"),S21,S26)))</f>
        <v>ERYSGR</v>
      </c>
      <c r="C12" s="771">
        <v>2</v>
      </c>
      <c r="D12" s="772"/>
      <c r="E12" s="772"/>
      <c r="F12" s="772"/>
      <c r="G12" s="772"/>
      <c r="H12" s="772"/>
      <c r="I12" s="772"/>
      <c r="J12" s="772"/>
      <c r="K12" s="772"/>
      <c r="L12" s="772"/>
      <c r="M12" s="772"/>
      <c r="N12" s="773">
        <f>SUM(D12:M12)/(10-O$24)</f>
        <v>0</v>
      </c>
      <c r="O12" s="768"/>
      <c r="Q12" s="753" t="s">
        <v>659</v>
      </c>
      <c r="R12" s="753">
        <v>2</v>
      </c>
      <c r="S12" s="769" t="s">
        <v>663</v>
      </c>
      <c r="T12" s="764" t="s">
        <v>664</v>
      </c>
    </row>
    <row r="13" spans="1:20" ht="12.75" customHeight="1" x14ac:dyDescent="0.2">
      <c r="A13" s="1031">
        <f>Led!Q95</f>
        <v>4</v>
      </c>
      <c r="B13" s="769"/>
      <c r="C13" s="771">
        <v>3</v>
      </c>
      <c r="D13" s="772"/>
      <c r="E13" s="772"/>
      <c r="F13" s="772"/>
      <c r="G13" s="772"/>
      <c r="H13" s="772"/>
      <c r="I13" s="772"/>
      <c r="J13" s="772"/>
      <c r="K13" s="772"/>
      <c r="L13" s="772"/>
      <c r="M13" s="772"/>
      <c r="N13" s="773">
        <f>SUM(D13:M13)/(10-O$25)</f>
        <v>0</v>
      </c>
      <c r="O13" s="768"/>
      <c r="Q13" s="753" t="s">
        <v>659</v>
      </c>
      <c r="R13" s="753">
        <v>3</v>
      </c>
      <c r="S13" s="769" t="s">
        <v>665</v>
      </c>
      <c r="T13" s="764" t="s">
        <v>666</v>
      </c>
    </row>
    <row r="14" spans="1:20" ht="13.5" customHeight="1" thickBot="1" x14ac:dyDescent="0.25">
      <c r="A14" s="1032"/>
      <c r="B14" s="774"/>
      <c r="C14" s="775">
        <v>4</v>
      </c>
      <c r="D14" s="776"/>
      <c r="E14" s="776"/>
      <c r="F14" s="776"/>
      <c r="G14" s="776"/>
      <c r="H14" s="776"/>
      <c r="I14" s="776"/>
      <c r="J14" s="776"/>
      <c r="K14" s="776"/>
      <c r="L14" s="776"/>
      <c r="M14" s="776"/>
      <c r="N14" s="777">
        <f>SUM(D14:M14)/(10-O$26)</f>
        <v>0</v>
      </c>
      <c r="O14" s="768"/>
      <c r="Q14" s="753" t="s">
        <v>659</v>
      </c>
      <c r="R14" s="753">
        <v>4</v>
      </c>
      <c r="S14" s="753" t="s">
        <v>667</v>
      </c>
      <c r="T14" s="764" t="s">
        <v>668</v>
      </c>
    </row>
    <row r="15" spans="1:20" x14ac:dyDescent="0.2">
      <c r="B15" s="764" t="str">
        <f>IF(OR($C$3="Höstvete",$C$3="Vårvete",$C$3="Rågvete"),T12,IF($C$3="Råg",T17,IF(OR($C$3="Vårkorn",$C$3="Höstkorn"),T22,T27)))</f>
        <v>Kornrost</v>
      </c>
      <c r="C15" s="765">
        <v>1</v>
      </c>
      <c r="D15" s="766"/>
      <c r="E15" s="766"/>
      <c r="F15" s="766"/>
      <c r="G15" s="766"/>
      <c r="H15" s="766"/>
      <c r="I15" s="766"/>
      <c r="J15" s="766"/>
      <c r="K15" s="766"/>
      <c r="L15" s="766"/>
      <c r="M15" s="766"/>
      <c r="N15" s="767">
        <f>SUM(D15:M15)/(10-O$23)</f>
        <v>0</v>
      </c>
      <c r="O15" s="768"/>
      <c r="Q15" s="753" t="s">
        <v>659</v>
      </c>
      <c r="R15" s="753">
        <v>5</v>
      </c>
      <c r="S15" s="769" t="s">
        <v>669</v>
      </c>
      <c r="T15" s="764" t="s">
        <v>670</v>
      </c>
    </row>
    <row r="16" spans="1:20" x14ac:dyDescent="0.2">
      <c r="B16" s="769" t="str">
        <f>IF(OR($C$3="Höstvete",$C$3="Vårvete",$C$3="Rågvete"),S12,IF($C$3="Råg",S17,IF(OR($C$3="Vårkorn",$C$3="Höstkorn"),S22,S27)))</f>
        <v>PUCCHD</v>
      </c>
      <c r="C16" s="771">
        <v>2</v>
      </c>
      <c r="D16" s="772"/>
      <c r="E16" s="772"/>
      <c r="F16" s="772"/>
      <c r="G16" s="772"/>
      <c r="H16" s="772"/>
      <c r="I16" s="772"/>
      <c r="J16" s="772"/>
      <c r="K16" s="772"/>
      <c r="L16" s="772"/>
      <c r="M16" s="772"/>
      <c r="N16" s="773">
        <f>SUM(D16:M16)/(10-O$24)</f>
        <v>0</v>
      </c>
      <c r="O16" s="768"/>
      <c r="Q16" s="753" t="s">
        <v>246</v>
      </c>
      <c r="R16" s="753">
        <v>1</v>
      </c>
      <c r="S16" s="753" t="s">
        <v>660</v>
      </c>
      <c r="T16" s="757" t="s">
        <v>661</v>
      </c>
    </row>
    <row r="17" spans="1:20" x14ac:dyDescent="0.2">
      <c r="B17" s="769"/>
      <c r="C17" s="771">
        <v>3</v>
      </c>
      <c r="D17" s="772"/>
      <c r="E17" s="772"/>
      <c r="F17" s="772"/>
      <c r="G17" s="772"/>
      <c r="H17" s="772"/>
      <c r="I17" s="772"/>
      <c r="J17" s="772"/>
      <c r="K17" s="772"/>
      <c r="L17" s="772"/>
      <c r="M17" s="772"/>
      <c r="N17" s="773">
        <f>SUM(D17:M17)/(10-O$25)</f>
        <v>0</v>
      </c>
      <c r="O17" s="768"/>
      <c r="Q17" s="753" t="s">
        <v>246</v>
      </c>
      <c r="R17" s="753">
        <v>2</v>
      </c>
      <c r="S17" s="753" t="s">
        <v>663</v>
      </c>
      <c r="T17" s="757" t="s">
        <v>664</v>
      </c>
    </row>
    <row r="18" spans="1:20" ht="13.5" thickBot="1" x14ac:dyDescent="0.25">
      <c r="B18" s="778"/>
      <c r="C18" s="775">
        <v>4</v>
      </c>
      <c r="D18" s="776"/>
      <c r="E18" s="776"/>
      <c r="F18" s="776"/>
      <c r="G18" s="776"/>
      <c r="H18" s="776"/>
      <c r="I18" s="776"/>
      <c r="J18" s="776"/>
      <c r="K18" s="776"/>
      <c r="L18" s="776"/>
      <c r="M18" s="776"/>
      <c r="N18" s="777">
        <f>SUM(D18:M18)/(10-O$26)</f>
        <v>0</v>
      </c>
      <c r="O18" s="768"/>
      <c r="Q18" s="753" t="s">
        <v>246</v>
      </c>
      <c r="R18" s="753">
        <v>3</v>
      </c>
      <c r="S18" s="769" t="s">
        <v>671</v>
      </c>
      <c r="T18" s="764" t="s">
        <v>672</v>
      </c>
    </row>
    <row r="19" spans="1:20" x14ac:dyDescent="0.2">
      <c r="B19" s="764" t="str">
        <f>IF(OR($C$3="Höstvete",$C$3="Vårvete",$C$3="Rågvete"),T13,IF($C$3="Råg",T18,IF(OR($C$3="Vårkorn",$C$3="Höstkorn"),T23,T28)))</f>
        <v>Sköldfläcksjuka</v>
      </c>
      <c r="C19" s="771">
        <v>1</v>
      </c>
      <c r="D19" s="766"/>
      <c r="E19" s="772"/>
      <c r="F19" s="772"/>
      <c r="G19" s="772"/>
      <c r="H19" s="772"/>
      <c r="I19" s="772"/>
      <c r="J19" s="772"/>
      <c r="K19" s="772"/>
      <c r="L19" s="772"/>
      <c r="M19" s="772"/>
      <c r="N19" s="767">
        <f>SUM(D19:M19)/(10-O$23)</f>
        <v>0</v>
      </c>
      <c r="O19" s="768"/>
      <c r="Q19" s="753" t="s">
        <v>246</v>
      </c>
      <c r="R19" s="753">
        <v>4</v>
      </c>
      <c r="S19" s="769" t="s">
        <v>667</v>
      </c>
      <c r="T19" s="764" t="s">
        <v>668</v>
      </c>
    </row>
    <row r="20" spans="1:20" x14ac:dyDescent="0.2">
      <c r="B20" s="769" t="str">
        <f>IF(OR($C$3="Höstvete",$C$3="Vårvete",$C$3="Rågvete"),S13,IF($C$3="Råg",S18,IF(OR($C$3="Vårkorn",$C$3="Höstkorn"),S23,S28)))</f>
        <v>RHYNSE</v>
      </c>
      <c r="C20" s="771">
        <v>2</v>
      </c>
      <c r="D20" s="772"/>
      <c r="E20" s="772"/>
      <c r="F20" s="772"/>
      <c r="G20" s="772"/>
      <c r="H20" s="772"/>
      <c r="I20" s="772"/>
      <c r="J20" s="772"/>
      <c r="K20" s="772"/>
      <c r="L20" s="772"/>
      <c r="M20" s="772"/>
      <c r="N20" s="773">
        <f>SUM(D20:M20)/(10-O$24)</f>
        <v>0</v>
      </c>
      <c r="O20" s="768"/>
      <c r="S20" s="753" t="s">
        <v>673</v>
      </c>
      <c r="T20" s="753" t="s">
        <v>673</v>
      </c>
    </row>
    <row r="21" spans="1:20" x14ac:dyDescent="0.2">
      <c r="B21" s="769"/>
      <c r="C21" s="771">
        <v>3</v>
      </c>
      <c r="D21" s="772"/>
      <c r="E21" s="772"/>
      <c r="F21" s="772"/>
      <c r="G21" s="772"/>
      <c r="H21" s="772"/>
      <c r="I21" s="772"/>
      <c r="J21" s="772"/>
      <c r="K21" s="772"/>
      <c r="L21" s="772"/>
      <c r="M21" s="772"/>
      <c r="N21" s="773">
        <f>SUM(D21:M21)/(10-O$25)</f>
        <v>0</v>
      </c>
      <c r="O21" s="768"/>
      <c r="Q21" s="753" t="s">
        <v>674</v>
      </c>
      <c r="R21" s="753">
        <v>1</v>
      </c>
      <c r="S21" s="769" t="s">
        <v>660</v>
      </c>
      <c r="T21" s="764" t="s">
        <v>661</v>
      </c>
    </row>
    <row r="22" spans="1:20" ht="13.5" thickBot="1" x14ac:dyDescent="0.25">
      <c r="B22" s="778"/>
      <c r="C22" s="775">
        <v>4</v>
      </c>
      <c r="D22" s="776"/>
      <c r="E22" s="776"/>
      <c r="F22" s="776"/>
      <c r="G22" s="776"/>
      <c r="H22" s="776"/>
      <c r="I22" s="776"/>
      <c r="J22" s="776"/>
      <c r="K22" s="776"/>
      <c r="L22" s="776"/>
      <c r="M22" s="776"/>
      <c r="N22" s="777">
        <f>SUM(D22:M22)/(10-O$26)</f>
        <v>0</v>
      </c>
      <c r="O22" s="768"/>
      <c r="Q22" s="753" t="s">
        <v>674</v>
      </c>
      <c r="R22" s="753">
        <v>2</v>
      </c>
      <c r="S22" s="769" t="s">
        <v>675</v>
      </c>
      <c r="T22" s="764" t="s">
        <v>676</v>
      </c>
    </row>
    <row r="23" spans="1:20" x14ac:dyDescent="0.2">
      <c r="B23" s="764" t="str">
        <f>IF(OR($C$3="Höstvete",$C$3="Vårvete",$C$3="Rågvete"),T14,IF($C$3="Råg",T19,IF(OR($C$3="Vårkorn",$C$3="Höstkorn"),T24,T29)))</f>
        <v>Bladfläcksjuka</v>
      </c>
      <c r="C23" s="771">
        <v>1</v>
      </c>
      <c r="D23" s="766"/>
      <c r="E23" s="772"/>
      <c r="F23" s="772"/>
      <c r="G23" s="772"/>
      <c r="H23" s="772"/>
      <c r="I23" s="772"/>
      <c r="J23" s="772"/>
      <c r="K23" s="772"/>
      <c r="L23" s="772"/>
      <c r="M23" s="772"/>
      <c r="N23" s="767">
        <f>SUM(D23:M23)/(10-O$23)</f>
        <v>0</v>
      </c>
      <c r="O23" s="779">
        <f>COUNTIF(D23:M23,"=V")</f>
        <v>0</v>
      </c>
      <c r="Q23" s="753" t="s">
        <v>674</v>
      </c>
      <c r="R23" s="753">
        <v>3</v>
      </c>
      <c r="S23" s="769" t="s">
        <v>671</v>
      </c>
      <c r="T23" s="764" t="s">
        <v>672</v>
      </c>
    </row>
    <row r="24" spans="1:20" x14ac:dyDescent="0.2">
      <c r="B24" s="769" t="str">
        <f>IF(OR($C$3="Höstvete",$C$3="Vårvete",$C$3="Rågvete"),S14,IF($C$3="Råg",S19,IF(OR($C$3="Vårkorn",$C$3="Höstkorn"),S24,S29)))</f>
        <v>PYRNTE</v>
      </c>
      <c r="C24" s="771">
        <v>2</v>
      </c>
      <c r="D24" s="772"/>
      <c r="E24" s="772"/>
      <c r="F24" s="772"/>
      <c r="G24" s="772"/>
      <c r="H24" s="772"/>
      <c r="I24" s="772"/>
      <c r="J24" s="772"/>
      <c r="K24" s="772"/>
      <c r="L24" s="772"/>
      <c r="M24" s="772"/>
      <c r="N24" s="773">
        <f>SUM(D24:M24)/(10-O$24)</f>
        <v>0</v>
      </c>
      <c r="O24" s="780">
        <f t="shared" ref="O24:O26" si="0">COUNTIF(D24:M24,"=V")</f>
        <v>0</v>
      </c>
      <c r="Q24" s="753" t="s">
        <v>674</v>
      </c>
      <c r="R24" s="753">
        <v>4</v>
      </c>
      <c r="S24" s="769" t="s">
        <v>677</v>
      </c>
      <c r="T24" s="764" t="s">
        <v>678</v>
      </c>
    </row>
    <row r="25" spans="1:20" x14ac:dyDescent="0.2">
      <c r="B25" s="769"/>
      <c r="C25" s="771">
        <v>3</v>
      </c>
      <c r="D25" s="772"/>
      <c r="E25" s="772"/>
      <c r="F25" s="772"/>
      <c r="G25" s="772"/>
      <c r="H25" s="772"/>
      <c r="I25" s="772"/>
      <c r="J25" s="772"/>
      <c r="K25" s="772"/>
      <c r="L25" s="772"/>
      <c r="M25" s="772"/>
      <c r="N25" s="773">
        <f>SUM(D25:M25)/(10-O$25)</f>
        <v>0</v>
      </c>
      <c r="O25" s="780">
        <f t="shared" si="0"/>
        <v>0</v>
      </c>
      <c r="S25" s="753" t="s">
        <v>673</v>
      </c>
      <c r="T25" s="753" t="s">
        <v>673</v>
      </c>
    </row>
    <row r="26" spans="1:20" ht="13.5" thickBot="1" x14ac:dyDescent="0.25">
      <c r="B26" s="778"/>
      <c r="C26" s="775">
        <v>4</v>
      </c>
      <c r="D26" s="776"/>
      <c r="E26" s="776"/>
      <c r="F26" s="776"/>
      <c r="G26" s="776"/>
      <c r="H26" s="776"/>
      <c r="I26" s="776"/>
      <c r="J26" s="776"/>
      <c r="K26" s="776"/>
      <c r="L26" s="776"/>
      <c r="M26" s="776"/>
      <c r="N26" s="777">
        <f>SUM(D26:M26)/(10-O$26)</f>
        <v>0</v>
      </c>
      <c r="O26" s="781">
        <f t="shared" si="0"/>
        <v>0</v>
      </c>
      <c r="Q26" s="753" t="s">
        <v>251</v>
      </c>
      <c r="R26" s="753">
        <v>1</v>
      </c>
      <c r="S26" s="769" t="s">
        <v>660</v>
      </c>
      <c r="T26" s="764" t="s">
        <v>661</v>
      </c>
    </row>
    <row r="27" spans="1:20" x14ac:dyDescent="0.2">
      <c r="B27" s="764" t="str">
        <f>IF(OR($C$3="Höstvete",$C$3="Vårvete",$C$3="Rågvete"),T15,IF($C$3="Råg",T20,IF(OR($C$3="Vårkorn",$C$3="Höstkorn"),T25,T30)))</f>
        <v xml:space="preserve">  </v>
      </c>
      <c r="C27" s="771">
        <v>1</v>
      </c>
      <c r="D27" s="772"/>
      <c r="E27" s="772"/>
      <c r="F27" s="772"/>
      <c r="G27" s="772"/>
      <c r="H27" s="772"/>
      <c r="I27" s="772"/>
      <c r="J27" s="772"/>
      <c r="K27" s="772"/>
      <c r="L27" s="772"/>
      <c r="M27" s="772"/>
      <c r="N27" s="767">
        <f>SUM(D27:M27)/(10-O$23)</f>
        <v>0</v>
      </c>
      <c r="O27" s="768"/>
      <c r="Q27" s="753" t="s">
        <v>251</v>
      </c>
      <c r="R27" s="753">
        <v>2</v>
      </c>
      <c r="S27" s="769" t="s">
        <v>679</v>
      </c>
      <c r="T27" s="764" t="s">
        <v>680</v>
      </c>
    </row>
    <row r="28" spans="1:20" x14ac:dyDescent="0.2">
      <c r="B28" s="769" t="str">
        <f>IF(OR($C$3="Höstvete",$C$3="Vårvete",$C$3="Rågvete"),S15,IF($C$3="Råg",S20,IF(OR($C$3="Vårkorn",$C$3="Höstkorn"),S25,S30)))</f>
        <v xml:space="preserve">  </v>
      </c>
      <c r="C28" s="771">
        <v>2</v>
      </c>
      <c r="D28" s="772"/>
      <c r="E28" s="772"/>
      <c r="F28" s="772"/>
      <c r="G28" s="772"/>
      <c r="H28" s="772"/>
      <c r="I28" s="772"/>
      <c r="J28" s="772"/>
      <c r="K28" s="772"/>
      <c r="L28" s="772"/>
      <c r="M28" s="772"/>
      <c r="N28" s="773">
        <f>SUM(D28:M28)/(10-O$24)</f>
        <v>0</v>
      </c>
      <c r="O28" s="768"/>
      <c r="Q28" s="753" t="s">
        <v>251</v>
      </c>
      <c r="R28" s="753">
        <v>3</v>
      </c>
      <c r="S28" s="769" t="s">
        <v>681</v>
      </c>
      <c r="T28" s="764" t="s">
        <v>678</v>
      </c>
    </row>
    <row r="29" spans="1:20" x14ac:dyDescent="0.2">
      <c r="B29" s="769"/>
      <c r="C29" s="771">
        <v>3</v>
      </c>
      <c r="D29" s="772"/>
      <c r="E29" s="772"/>
      <c r="F29" s="772"/>
      <c r="G29" s="772"/>
      <c r="H29" s="772"/>
      <c r="I29" s="772"/>
      <c r="J29" s="772"/>
      <c r="K29" s="772"/>
      <c r="L29" s="772"/>
      <c r="M29" s="772"/>
      <c r="N29" s="773">
        <f>SUM(D29:M29)/(10-O$25)</f>
        <v>0</v>
      </c>
      <c r="O29" s="768"/>
      <c r="Q29" s="753" t="s">
        <v>251</v>
      </c>
      <c r="R29" s="753">
        <v>4</v>
      </c>
      <c r="S29" s="769" t="s">
        <v>682</v>
      </c>
      <c r="T29" s="764" t="s">
        <v>683</v>
      </c>
    </row>
    <row r="30" spans="1:20" ht="13.5" thickBot="1" x14ac:dyDescent="0.25">
      <c r="A30" s="782"/>
      <c r="B30" s="783"/>
      <c r="C30" s="784">
        <v>4</v>
      </c>
      <c r="D30" s="785"/>
      <c r="E30" s="785"/>
      <c r="F30" s="785"/>
      <c r="G30" s="785"/>
      <c r="H30" s="785"/>
      <c r="I30" s="785"/>
      <c r="J30" s="785"/>
      <c r="K30" s="785"/>
      <c r="L30" s="785"/>
      <c r="M30" s="785"/>
      <c r="N30" s="777">
        <f>SUM(D30:M30)/(10-O$26)</f>
        <v>0</v>
      </c>
      <c r="O30" s="786"/>
      <c r="S30" s="753" t="s">
        <v>673</v>
      </c>
      <c r="T30" s="753" t="s">
        <v>673</v>
      </c>
    </row>
    <row r="31" spans="1:20" ht="13.5" thickTop="1" x14ac:dyDescent="0.2">
      <c r="A31" s="763" t="s">
        <v>684</v>
      </c>
      <c r="B31" s="764" t="str">
        <f>B11</f>
        <v>Mjöldagg</v>
      </c>
      <c r="C31" s="765">
        <v>1</v>
      </c>
      <c r="D31" s="766"/>
      <c r="E31" s="766"/>
      <c r="F31" s="766"/>
      <c r="G31" s="766"/>
      <c r="H31" s="766"/>
      <c r="I31" s="766"/>
      <c r="J31" s="766"/>
      <c r="K31" s="766"/>
      <c r="L31" s="766"/>
      <c r="M31" s="766"/>
      <c r="N31" s="767">
        <f>SUM(D31:M31)/(10-O$43)</f>
        <v>0</v>
      </c>
      <c r="O31" s="768"/>
    </row>
    <row r="32" spans="1:20" x14ac:dyDescent="0.2">
      <c r="A32" s="770" t="s">
        <v>662</v>
      </c>
      <c r="B32" s="769" t="str">
        <f>B12</f>
        <v>ERYSGR</v>
      </c>
      <c r="C32" s="771">
        <v>2</v>
      </c>
      <c r="D32" s="772"/>
      <c r="E32" s="772"/>
      <c r="F32" s="772"/>
      <c r="G32" s="772"/>
      <c r="H32" s="772"/>
      <c r="I32" s="772"/>
      <c r="J32" s="772"/>
      <c r="K32" s="772"/>
      <c r="L32" s="772"/>
      <c r="M32" s="772"/>
      <c r="N32" s="773">
        <f>SUM(D32:M32)/(10-O$44)</f>
        <v>0</v>
      </c>
      <c r="O32" s="768"/>
    </row>
    <row r="33" spans="1:19" ht="12.75" customHeight="1" x14ac:dyDescent="0.2">
      <c r="A33" s="1031">
        <f>Led!Q96</f>
        <v>13</v>
      </c>
      <c r="B33" s="769"/>
      <c r="C33" s="771">
        <v>3</v>
      </c>
      <c r="D33" s="772"/>
      <c r="E33" s="772"/>
      <c r="F33" s="772"/>
      <c r="G33" s="772"/>
      <c r="H33" s="772"/>
      <c r="I33" s="772"/>
      <c r="J33" s="772"/>
      <c r="K33" s="772"/>
      <c r="L33" s="772"/>
      <c r="M33" s="772"/>
      <c r="N33" s="773">
        <f>SUM(D33:M33)/(10-O$45)</f>
        <v>0</v>
      </c>
      <c r="O33" s="768"/>
    </row>
    <row r="34" spans="1:19" ht="13.5" customHeight="1" thickBot="1" x14ac:dyDescent="0.25">
      <c r="A34" s="1032"/>
      <c r="B34" s="774"/>
      <c r="C34" s="775">
        <v>4</v>
      </c>
      <c r="D34" s="776"/>
      <c r="E34" s="776"/>
      <c r="F34" s="776"/>
      <c r="G34" s="776"/>
      <c r="H34" s="776"/>
      <c r="I34" s="776"/>
      <c r="J34" s="776"/>
      <c r="K34" s="776"/>
      <c r="L34" s="776"/>
      <c r="M34" s="776"/>
      <c r="N34" s="777">
        <f>SUM(D34:M34)/(10-O$46)</f>
        <v>0</v>
      </c>
      <c r="O34" s="768"/>
    </row>
    <row r="35" spans="1:19" x14ac:dyDescent="0.2">
      <c r="B35" s="764" t="str">
        <f>B15</f>
        <v>Kornrost</v>
      </c>
      <c r="C35" s="765">
        <v>1</v>
      </c>
      <c r="D35" s="766"/>
      <c r="E35" s="766"/>
      <c r="F35" s="766"/>
      <c r="G35" s="766"/>
      <c r="H35" s="766"/>
      <c r="I35" s="766"/>
      <c r="J35" s="766"/>
      <c r="K35" s="766"/>
      <c r="L35" s="766"/>
      <c r="M35" s="766"/>
      <c r="N35" s="767">
        <f>SUM(D35:M35)/(10-O$43)</f>
        <v>0</v>
      </c>
      <c r="O35" s="768"/>
    </row>
    <row r="36" spans="1:19" x14ac:dyDescent="0.2">
      <c r="B36" s="769" t="str">
        <f>B16</f>
        <v>PUCCHD</v>
      </c>
      <c r="C36" s="771">
        <v>2</v>
      </c>
      <c r="D36" s="772"/>
      <c r="E36" s="772"/>
      <c r="F36" s="772"/>
      <c r="G36" s="772"/>
      <c r="H36" s="772"/>
      <c r="I36" s="772"/>
      <c r="J36" s="772"/>
      <c r="K36" s="772"/>
      <c r="L36" s="772"/>
      <c r="M36" s="772"/>
      <c r="N36" s="773">
        <f>SUM(D36:M36)/(10-O$44)</f>
        <v>0</v>
      </c>
      <c r="O36" s="768"/>
    </row>
    <row r="37" spans="1:19" x14ac:dyDescent="0.2">
      <c r="B37" s="769"/>
      <c r="C37" s="771">
        <v>3</v>
      </c>
      <c r="D37" s="772"/>
      <c r="E37" s="772"/>
      <c r="F37" s="772"/>
      <c r="G37" s="772"/>
      <c r="H37" s="772"/>
      <c r="I37" s="772"/>
      <c r="J37" s="772"/>
      <c r="K37" s="772"/>
      <c r="L37" s="772"/>
      <c r="M37" s="772"/>
      <c r="N37" s="773">
        <f>SUM(D37:M37)/(10-O$45)</f>
        <v>0</v>
      </c>
      <c r="O37" s="768"/>
    </row>
    <row r="38" spans="1:19" ht="13.5" thickBot="1" x14ac:dyDescent="0.25">
      <c r="B38" s="778"/>
      <c r="C38" s="775">
        <v>4</v>
      </c>
      <c r="D38" s="776"/>
      <c r="E38" s="776"/>
      <c r="F38" s="776"/>
      <c r="G38" s="776"/>
      <c r="H38" s="776"/>
      <c r="I38" s="776"/>
      <c r="J38" s="776"/>
      <c r="K38" s="776"/>
      <c r="L38" s="776"/>
      <c r="M38" s="776"/>
      <c r="N38" s="777">
        <f>SUM(D38:M38)/(10-O$46)</f>
        <v>0</v>
      </c>
      <c r="O38" s="768"/>
    </row>
    <row r="39" spans="1:19" x14ac:dyDescent="0.2">
      <c r="B39" s="764" t="str">
        <f>B19</f>
        <v>Sköldfläcksjuka</v>
      </c>
      <c r="C39" s="771">
        <v>1</v>
      </c>
      <c r="D39" s="772"/>
      <c r="E39" s="772"/>
      <c r="F39" s="772"/>
      <c r="G39" s="772"/>
      <c r="H39" s="772"/>
      <c r="I39" s="772"/>
      <c r="J39" s="772"/>
      <c r="K39" s="772"/>
      <c r="L39" s="772"/>
      <c r="M39" s="772"/>
      <c r="N39" s="767">
        <f>SUM(D39:M39)/(10-O$43)</f>
        <v>0</v>
      </c>
      <c r="O39" s="768"/>
    </row>
    <row r="40" spans="1:19" x14ac:dyDescent="0.2">
      <c r="B40" s="769" t="str">
        <f>B20</f>
        <v>RHYNSE</v>
      </c>
      <c r="C40" s="771">
        <v>2</v>
      </c>
      <c r="D40" s="772"/>
      <c r="E40" s="772"/>
      <c r="F40" s="772"/>
      <c r="G40" s="772"/>
      <c r="H40" s="772"/>
      <c r="I40" s="772"/>
      <c r="J40" s="772"/>
      <c r="K40" s="772"/>
      <c r="L40" s="772"/>
      <c r="M40" s="772"/>
      <c r="N40" s="773">
        <f>SUM(D40:M40)/(10-O$44)</f>
        <v>0</v>
      </c>
      <c r="O40" s="768"/>
      <c r="R40" s="764"/>
    </row>
    <row r="41" spans="1:19" x14ac:dyDescent="0.2">
      <c r="B41" s="769"/>
      <c r="C41" s="771">
        <v>3</v>
      </c>
      <c r="D41" s="772"/>
      <c r="E41" s="772"/>
      <c r="F41" s="772"/>
      <c r="G41" s="772"/>
      <c r="H41" s="772"/>
      <c r="I41" s="772"/>
      <c r="J41" s="772"/>
      <c r="K41" s="772"/>
      <c r="L41" s="772"/>
      <c r="M41" s="772"/>
      <c r="N41" s="773">
        <f>SUM(D41:M41)/(10-O$45)</f>
        <v>0</v>
      </c>
      <c r="O41" s="768"/>
      <c r="R41" s="764"/>
      <c r="S41" s="764"/>
    </row>
    <row r="42" spans="1:19" ht="13.5" thickBot="1" x14ac:dyDescent="0.25">
      <c r="B42" s="778"/>
      <c r="C42" s="775">
        <v>4</v>
      </c>
      <c r="D42" s="776"/>
      <c r="E42" s="776"/>
      <c r="F42" s="776"/>
      <c r="G42" s="776"/>
      <c r="H42" s="776"/>
      <c r="I42" s="776"/>
      <c r="J42" s="776"/>
      <c r="K42" s="776"/>
      <c r="L42" s="776"/>
      <c r="M42" s="776"/>
      <c r="N42" s="777">
        <f>SUM(D42:M42)/(10-O$46)</f>
        <v>0</v>
      </c>
      <c r="O42" s="768"/>
      <c r="R42" s="764"/>
      <c r="S42" s="764"/>
    </row>
    <row r="43" spans="1:19" x14ac:dyDescent="0.2">
      <c r="B43" s="764" t="str">
        <f>B23</f>
        <v>Bladfläcksjuka</v>
      </c>
      <c r="C43" s="771">
        <v>1</v>
      </c>
      <c r="D43" s="772"/>
      <c r="E43" s="772"/>
      <c r="F43" s="772"/>
      <c r="G43" s="772"/>
      <c r="H43" s="772"/>
      <c r="I43" s="772"/>
      <c r="J43" s="772"/>
      <c r="K43" s="772"/>
      <c r="L43" s="772"/>
      <c r="M43" s="772"/>
      <c r="N43" s="767">
        <f>SUM(D43:M43)/(10-O$43)</f>
        <v>0</v>
      </c>
      <c r="O43" s="787">
        <f>COUNTIF(D43:M43,"=V")</f>
        <v>0</v>
      </c>
      <c r="R43" s="764"/>
      <c r="S43" s="764"/>
    </row>
    <row r="44" spans="1:19" x14ac:dyDescent="0.2">
      <c r="B44" s="769" t="str">
        <f>B24</f>
        <v>PYRNTE</v>
      </c>
      <c r="C44" s="771">
        <v>2</v>
      </c>
      <c r="D44" s="772"/>
      <c r="E44" s="772"/>
      <c r="F44" s="772"/>
      <c r="G44" s="772"/>
      <c r="H44" s="772"/>
      <c r="I44" s="772"/>
      <c r="J44" s="772"/>
      <c r="K44" s="772"/>
      <c r="L44" s="772"/>
      <c r="M44" s="772"/>
      <c r="N44" s="773">
        <f>SUM(D44:M44)/(10-O$44)</f>
        <v>0</v>
      </c>
      <c r="O44" s="788">
        <f t="shared" ref="O44:O46" si="1">COUNTIF(D44:M44,"=V")</f>
        <v>0</v>
      </c>
      <c r="R44" s="764"/>
      <c r="S44" s="764"/>
    </row>
    <row r="45" spans="1:19" x14ac:dyDescent="0.2">
      <c r="B45" s="769"/>
      <c r="C45" s="771">
        <v>3</v>
      </c>
      <c r="D45" s="772"/>
      <c r="E45" s="772"/>
      <c r="F45" s="772"/>
      <c r="G45" s="772"/>
      <c r="H45" s="772"/>
      <c r="I45" s="772"/>
      <c r="J45" s="772"/>
      <c r="K45" s="772"/>
      <c r="L45" s="772"/>
      <c r="M45" s="772"/>
      <c r="N45" s="773">
        <f>SUM(D45:M45)/(10-O$45)</f>
        <v>0</v>
      </c>
      <c r="O45" s="788">
        <f t="shared" si="1"/>
        <v>0</v>
      </c>
      <c r="R45" s="764"/>
      <c r="S45" s="764"/>
    </row>
    <row r="46" spans="1:19" ht="13.5" thickBot="1" x14ac:dyDescent="0.25">
      <c r="B46" s="778"/>
      <c r="C46" s="775">
        <v>4</v>
      </c>
      <c r="D46" s="776"/>
      <c r="E46" s="776"/>
      <c r="F46" s="776"/>
      <c r="G46" s="776"/>
      <c r="H46" s="776"/>
      <c r="I46" s="776"/>
      <c r="J46" s="776"/>
      <c r="K46" s="776"/>
      <c r="L46" s="776"/>
      <c r="M46" s="776"/>
      <c r="N46" s="777">
        <f>SUM(D46:M46)/(10-O$46)</f>
        <v>0</v>
      </c>
      <c r="O46" s="789">
        <f t="shared" si="1"/>
        <v>0</v>
      </c>
      <c r="R46" s="764"/>
      <c r="S46" s="764"/>
    </row>
    <row r="47" spans="1:19" x14ac:dyDescent="0.2">
      <c r="B47" s="764" t="str">
        <f>B27</f>
        <v xml:space="preserve">  </v>
      </c>
      <c r="C47" s="771">
        <v>1</v>
      </c>
      <c r="D47" s="772"/>
      <c r="E47" s="772"/>
      <c r="F47" s="772"/>
      <c r="G47" s="772"/>
      <c r="H47" s="772"/>
      <c r="I47" s="772"/>
      <c r="J47" s="772"/>
      <c r="K47" s="772"/>
      <c r="L47" s="772"/>
      <c r="M47" s="772"/>
      <c r="N47" s="767">
        <f>SUM(D47:M47)/(10-O$43)</f>
        <v>0</v>
      </c>
      <c r="O47" s="768"/>
    </row>
    <row r="48" spans="1:19" x14ac:dyDescent="0.2">
      <c r="B48" s="769" t="str">
        <f>B28</f>
        <v xml:space="preserve">  </v>
      </c>
      <c r="C48" s="771">
        <v>2</v>
      </c>
      <c r="D48" s="772"/>
      <c r="E48" s="772"/>
      <c r="F48" s="772"/>
      <c r="G48" s="772"/>
      <c r="H48" s="772"/>
      <c r="I48" s="772"/>
      <c r="J48" s="772"/>
      <c r="K48" s="772"/>
      <c r="L48" s="772"/>
      <c r="M48" s="772"/>
      <c r="N48" s="773">
        <f>SUM(D48:M48)/(10-O$44)</f>
        <v>0</v>
      </c>
      <c r="O48" s="768"/>
    </row>
    <row r="49" spans="1:15" x14ac:dyDescent="0.2">
      <c r="B49" s="769"/>
      <c r="C49" s="771">
        <v>3</v>
      </c>
      <c r="D49" s="772"/>
      <c r="E49" s="772"/>
      <c r="F49" s="772"/>
      <c r="G49" s="772"/>
      <c r="H49" s="772"/>
      <c r="I49" s="772"/>
      <c r="J49" s="772"/>
      <c r="K49" s="772"/>
      <c r="L49" s="772"/>
      <c r="M49" s="772"/>
      <c r="N49" s="773">
        <f>SUM(D49:M49)/(10-O$45)</f>
        <v>0</v>
      </c>
      <c r="O49" s="768"/>
    </row>
    <row r="50" spans="1:15" ht="13.5" thickBot="1" x14ac:dyDescent="0.25">
      <c r="A50" s="782"/>
      <c r="B50" s="783"/>
      <c r="C50" s="784">
        <v>4</v>
      </c>
      <c r="D50" s="785"/>
      <c r="E50" s="785"/>
      <c r="F50" s="785"/>
      <c r="G50" s="785"/>
      <c r="H50" s="785"/>
      <c r="I50" s="785"/>
      <c r="J50" s="785"/>
      <c r="K50" s="785"/>
      <c r="L50" s="785"/>
      <c r="M50" s="785"/>
      <c r="N50" s="777">
        <f>SUM(D50:M50)/(10-O$46)</f>
        <v>0</v>
      </c>
      <c r="O50" s="768"/>
    </row>
    <row r="51" spans="1:15" ht="13.5" thickTop="1" x14ac:dyDescent="0.2">
      <c r="A51" s="680"/>
      <c r="B51" s="680"/>
      <c r="C51" s="680"/>
      <c r="D51" s="680"/>
      <c r="E51" s="680"/>
      <c r="F51" s="680"/>
      <c r="G51" s="680"/>
      <c r="H51" s="680"/>
      <c r="I51" s="680"/>
      <c r="J51" s="680"/>
      <c r="K51" s="680"/>
      <c r="L51" s="680"/>
      <c r="M51" s="680"/>
      <c r="N51" s="680"/>
    </row>
    <row r="52" spans="1:15" x14ac:dyDescent="0.2">
      <c r="A52" s="680"/>
      <c r="B52" s="680"/>
      <c r="C52" s="680"/>
      <c r="D52" s="680"/>
      <c r="E52" s="680"/>
      <c r="F52" s="680"/>
      <c r="G52" s="680"/>
      <c r="H52" s="680"/>
      <c r="I52" s="680"/>
      <c r="J52" s="680"/>
      <c r="K52" s="680"/>
      <c r="L52" s="680"/>
      <c r="M52" s="680"/>
      <c r="N52" s="680"/>
    </row>
    <row r="53" spans="1:15" x14ac:dyDescent="0.2">
      <c r="A53" s="680"/>
      <c r="B53" s="680"/>
      <c r="C53" s="680"/>
      <c r="D53" s="680"/>
      <c r="E53" s="680"/>
      <c r="F53" s="680"/>
      <c r="G53" s="680"/>
      <c r="H53" s="680"/>
      <c r="I53" s="680"/>
      <c r="J53" s="680"/>
      <c r="K53" s="680"/>
      <c r="L53" s="680"/>
      <c r="M53" s="680"/>
      <c r="N53" s="680"/>
    </row>
    <row r="54" spans="1:15" ht="15.75" x14ac:dyDescent="0.25">
      <c r="L54" s="756" t="s">
        <v>685</v>
      </c>
    </row>
    <row r="55" spans="1:15" ht="8.25" customHeight="1" x14ac:dyDescent="0.2"/>
    <row r="56" spans="1:15" x14ac:dyDescent="0.2">
      <c r="A56" s="1013" t="s">
        <v>648</v>
      </c>
      <c r="B56" s="1013"/>
      <c r="C56" s="1014" t="s">
        <v>155</v>
      </c>
      <c r="D56" s="1015"/>
      <c r="E56" s="1016"/>
      <c r="F56" s="1017" t="s">
        <v>649</v>
      </c>
      <c r="G56" s="1018"/>
      <c r="H56" s="1019"/>
      <c r="I56" s="1020" t="s">
        <v>46</v>
      </c>
      <c r="J56" s="1020"/>
      <c r="K56" s="1020"/>
      <c r="L56" s="1017"/>
      <c r="M56" s="1020" t="s">
        <v>650</v>
      </c>
      <c r="N56" s="1020"/>
    </row>
    <row r="57" spans="1:15" ht="25.5" customHeight="1" x14ac:dyDescent="0.25">
      <c r="A57" s="1021" t="str">
        <f>IF(ISBLANK(A6),"",A6)</f>
        <v>HUG066</v>
      </c>
      <c r="B57" s="1021"/>
      <c r="C57" s="1022" t="str">
        <f>IF(ISBLANK(C6),"",C6)</f>
        <v>M-658-2014</v>
      </c>
      <c r="D57" s="1023"/>
      <c r="E57" s="1024"/>
      <c r="F57" s="1025" t="str">
        <f>IF(ISBLANK(F6),"",F6)</f>
        <v/>
      </c>
      <c r="G57" s="1026"/>
      <c r="H57" s="1027"/>
      <c r="I57" s="1025" t="str">
        <f>IF(ISBLANK(I6),"",I6)</f>
        <v/>
      </c>
      <c r="J57" s="1026"/>
      <c r="K57" s="1026"/>
      <c r="L57" s="1026"/>
      <c r="M57" s="1028" t="str">
        <f>IF(ISBLANK(M6),"",M6)</f>
        <v/>
      </c>
      <c r="N57" s="1028"/>
    </row>
    <row r="58" spans="1:15" x14ac:dyDescent="0.2">
      <c r="D58" s="1009" t="s">
        <v>1381</v>
      </c>
      <c r="E58" s="1009"/>
      <c r="F58" s="1009"/>
      <c r="G58" s="1009"/>
      <c r="H58" s="1009"/>
      <c r="I58" s="1009"/>
      <c r="J58" s="1009"/>
      <c r="K58" s="1009"/>
      <c r="L58" s="1009"/>
      <c r="M58" s="1009"/>
      <c r="N58" s="1009"/>
    </row>
    <row r="59" spans="1:15" x14ac:dyDescent="0.2">
      <c r="B59" s="757" t="s">
        <v>651</v>
      </c>
      <c r="C59" s="758" t="s">
        <v>652</v>
      </c>
      <c r="D59" s="1029" t="s">
        <v>653</v>
      </c>
      <c r="E59" s="1030"/>
      <c r="F59" s="1030"/>
      <c r="G59" s="1030"/>
      <c r="H59" s="1030"/>
      <c r="I59" s="1030"/>
      <c r="J59" s="1030"/>
      <c r="K59" s="1030"/>
      <c r="L59" s="1030"/>
      <c r="M59" s="1030"/>
      <c r="O59" s="753" t="s">
        <v>654</v>
      </c>
    </row>
    <row r="60" spans="1:15" ht="13.5" thickBot="1" x14ac:dyDescent="0.25">
      <c r="A60" s="759"/>
      <c r="B60" s="759"/>
      <c r="C60" s="760" t="s">
        <v>655</v>
      </c>
      <c r="D60" s="761">
        <v>1</v>
      </c>
      <c r="E60" s="761">
        <v>2</v>
      </c>
      <c r="F60" s="761">
        <v>3</v>
      </c>
      <c r="G60" s="761">
        <v>4</v>
      </c>
      <c r="H60" s="761">
        <v>5</v>
      </c>
      <c r="I60" s="761">
        <v>6</v>
      </c>
      <c r="J60" s="761">
        <v>7</v>
      </c>
      <c r="K60" s="761">
        <v>8</v>
      </c>
      <c r="L60" s="761">
        <v>9</v>
      </c>
      <c r="M60" s="761">
        <v>10</v>
      </c>
      <c r="N60" s="762" t="s">
        <v>656</v>
      </c>
      <c r="O60" s="761" t="s">
        <v>657</v>
      </c>
    </row>
    <row r="61" spans="1:15" x14ac:dyDescent="0.2">
      <c r="A61" s="763" t="s">
        <v>686</v>
      </c>
      <c r="B61" s="764" t="str">
        <f>B11</f>
        <v>Mjöldagg</v>
      </c>
      <c r="C61" s="765">
        <v>1</v>
      </c>
      <c r="D61" s="766"/>
      <c r="E61" s="766"/>
      <c r="F61" s="766"/>
      <c r="G61" s="766"/>
      <c r="H61" s="766"/>
      <c r="I61" s="766"/>
      <c r="J61" s="766"/>
      <c r="K61" s="766"/>
      <c r="L61" s="766"/>
      <c r="M61" s="766"/>
      <c r="N61" s="767">
        <f>SUM(D61:M61)/(10-O$73)</f>
        <v>0</v>
      </c>
      <c r="O61" s="768"/>
    </row>
    <row r="62" spans="1:15" x14ac:dyDescent="0.2">
      <c r="A62" s="770" t="s">
        <v>662</v>
      </c>
      <c r="B62" s="769" t="str">
        <f>B12</f>
        <v>ERYSGR</v>
      </c>
      <c r="C62" s="771">
        <v>2</v>
      </c>
      <c r="D62" s="772"/>
      <c r="E62" s="772"/>
      <c r="F62" s="772"/>
      <c r="G62" s="772"/>
      <c r="H62" s="772"/>
      <c r="I62" s="772"/>
      <c r="J62" s="772"/>
      <c r="K62" s="772"/>
      <c r="L62" s="772"/>
      <c r="M62" s="772"/>
      <c r="N62" s="773">
        <f>SUM(D62:M62)/(10-O$74)</f>
        <v>0</v>
      </c>
      <c r="O62" s="768"/>
    </row>
    <row r="63" spans="1:15" ht="12.75" customHeight="1" x14ac:dyDescent="0.2">
      <c r="A63" s="1031">
        <f>Led!Q97</f>
        <v>15</v>
      </c>
      <c r="B63" s="769"/>
      <c r="C63" s="771">
        <v>3</v>
      </c>
      <c r="D63" s="772"/>
      <c r="E63" s="772"/>
      <c r="F63" s="772"/>
      <c r="G63" s="772"/>
      <c r="H63" s="772"/>
      <c r="I63" s="772"/>
      <c r="J63" s="772"/>
      <c r="K63" s="772"/>
      <c r="L63" s="772"/>
      <c r="M63" s="772"/>
      <c r="N63" s="773">
        <f>SUM(D63:M63)/(10-O$75)</f>
        <v>0</v>
      </c>
      <c r="O63" s="768"/>
    </row>
    <row r="64" spans="1:15" ht="13.5" customHeight="1" thickBot="1" x14ac:dyDescent="0.25">
      <c r="A64" s="1032"/>
      <c r="B64" s="774"/>
      <c r="C64" s="775">
        <v>4</v>
      </c>
      <c r="D64" s="776"/>
      <c r="E64" s="776"/>
      <c r="F64" s="776"/>
      <c r="G64" s="776"/>
      <c r="H64" s="776"/>
      <c r="I64" s="776"/>
      <c r="J64" s="776"/>
      <c r="K64" s="776"/>
      <c r="L64" s="776"/>
      <c r="M64" s="776"/>
      <c r="N64" s="777">
        <f>SUM(D64:M64)/(10-O$76)</f>
        <v>0</v>
      </c>
      <c r="O64" s="768"/>
    </row>
    <row r="65" spans="1:15" x14ac:dyDescent="0.2">
      <c r="B65" s="764" t="str">
        <f>B15</f>
        <v>Kornrost</v>
      </c>
      <c r="C65" s="765">
        <v>1</v>
      </c>
      <c r="D65" s="766"/>
      <c r="E65" s="766"/>
      <c r="F65" s="766"/>
      <c r="G65" s="766"/>
      <c r="H65" s="766"/>
      <c r="I65" s="766"/>
      <c r="J65" s="766"/>
      <c r="K65" s="766"/>
      <c r="L65" s="766"/>
      <c r="M65" s="766"/>
      <c r="N65" s="767">
        <f>SUM(D65:M65)/(10-O$73)</f>
        <v>0</v>
      </c>
      <c r="O65" s="768"/>
    </row>
    <row r="66" spans="1:15" x14ac:dyDescent="0.2">
      <c r="B66" s="769" t="str">
        <f>B16</f>
        <v>PUCCHD</v>
      </c>
      <c r="C66" s="771">
        <v>2</v>
      </c>
      <c r="D66" s="772"/>
      <c r="E66" s="772"/>
      <c r="F66" s="772"/>
      <c r="G66" s="772"/>
      <c r="H66" s="772"/>
      <c r="I66" s="772"/>
      <c r="J66" s="772"/>
      <c r="K66" s="772"/>
      <c r="L66" s="772"/>
      <c r="M66" s="772"/>
      <c r="N66" s="773">
        <f>SUM(D66:M66)/(10-O$74)</f>
        <v>0</v>
      </c>
      <c r="O66" s="768"/>
    </row>
    <row r="67" spans="1:15" x14ac:dyDescent="0.2">
      <c r="B67" s="769"/>
      <c r="C67" s="771">
        <v>3</v>
      </c>
      <c r="D67" s="772"/>
      <c r="E67" s="772"/>
      <c r="F67" s="772"/>
      <c r="G67" s="772"/>
      <c r="H67" s="772"/>
      <c r="I67" s="772"/>
      <c r="J67" s="772"/>
      <c r="K67" s="772"/>
      <c r="L67" s="772"/>
      <c r="M67" s="772"/>
      <c r="N67" s="773">
        <f>SUM(D67:M67)/(10-O$75)</f>
        <v>0</v>
      </c>
      <c r="O67" s="768"/>
    </row>
    <row r="68" spans="1:15" ht="13.5" thickBot="1" x14ac:dyDescent="0.25">
      <c r="B68" s="778"/>
      <c r="C68" s="775">
        <v>4</v>
      </c>
      <c r="D68" s="776"/>
      <c r="E68" s="776"/>
      <c r="F68" s="776"/>
      <c r="G68" s="776"/>
      <c r="H68" s="776"/>
      <c r="I68" s="776"/>
      <c r="J68" s="776"/>
      <c r="K68" s="776"/>
      <c r="L68" s="776"/>
      <c r="M68" s="776"/>
      <c r="N68" s="777">
        <f>SUM(D68:M68)/(10-O$76)</f>
        <v>0</v>
      </c>
      <c r="O68" s="768"/>
    </row>
    <row r="69" spans="1:15" x14ac:dyDescent="0.2">
      <c r="B69" s="764" t="str">
        <f>B19</f>
        <v>Sköldfläcksjuka</v>
      </c>
      <c r="C69" s="771">
        <v>1</v>
      </c>
      <c r="D69" s="766"/>
      <c r="E69" s="772"/>
      <c r="F69" s="772"/>
      <c r="G69" s="772"/>
      <c r="H69" s="772"/>
      <c r="I69" s="772"/>
      <c r="J69" s="772"/>
      <c r="K69" s="772"/>
      <c r="L69" s="772"/>
      <c r="M69" s="772"/>
      <c r="N69" s="767">
        <f>SUM(D69:M69)/(10-O$73)</f>
        <v>0</v>
      </c>
      <c r="O69" s="768"/>
    </row>
    <row r="70" spans="1:15" x14ac:dyDescent="0.2">
      <c r="B70" s="769" t="str">
        <f>B20</f>
        <v>RHYNSE</v>
      </c>
      <c r="C70" s="771">
        <v>2</v>
      </c>
      <c r="D70" s="772"/>
      <c r="E70" s="772"/>
      <c r="F70" s="772"/>
      <c r="G70" s="772"/>
      <c r="H70" s="772"/>
      <c r="I70" s="772"/>
      <c r="J70" s="772"/>
      <c r="K70" s="772"/>
      <c r="L70" s="772"/>
      <c r="M70" s="772"/>
      <c r="N70" s="773">
        <f>SUM(D70:M70)/(10-O$74)</f>
        <v>0</v>
      </c>
      <c r="O70" s="768"/>
    </row>
    <row r="71" spans="1:15" x14ac:dyDescent="0.2">
      <c r="B71" s="769"/>
      <c r="C71" s="771">
        <v>3</v>
      </c>
      <c r="D71" s="772"/>
      <c r="E71" s="772"/>
      <c r="F71" s="772"/>
      <c r="G71" s="772"/>
      <c r="H71" s="772"/>
      <c r="I71" s="772"/>
      <c r="J71" s="772"/>
      <c r="K71" s="772"/>
      <c r="L71" s="772"/>
      <c r="M71" s="772"/>
      <c r="N71" s="773">
        <f>SUM(D71:M71)/(10-O$75)</f>
        <v>0</v>
      </c>
      <c r="O71" s="768"/>
    </row>
    <row r="72" spans="1:15" ht="13.5" thickBot="1" x14ac:dyDescent="0.25">
      <c r="B72" s="778"/>
      <c r="C72" s="775">
        <v>4</v>
      </c>
      <c r="D72" s="776"/>
      <c r="E72" s="776"/>
      <c r="F72" s="776"/>
      <c r="G72" s="776"/>
      <c r="H72" s="776"/>
      <c r="I72" s="776"/>
      <c r="J72" s="776"/>
      <c r="K72" s="776"/>
      <c r="L72" s="776"/>
      <c r="M72" s="776"/>
      <c r="N72" s="777">
        <f>SUM(D72:M72)/(10-O$76)</f>
        <v>0</v>
      </c>
      <c r="O72" s="768"/>
    </row>
    <row r="73" spans="1:15" x14ac:dyDescent="0.2">
      <c r="B73" s="764" t="str">
        <f>B23</f>
        <v>Bladfläcksjuka</v>
      </c>
      <c r="C73" s="771">
        <v>1</v>
      </c>
      <c r="D73" s="766"/>
      <c r="E73" s="772"/>
      <c r="F73" s="772"/>
      <c r="G73" s="772"/>
      <c r="H73" s="772"/>
      <c r="I73" s="772"/>
      <c r="J73" s="772"/>
      <c r="K73" s="772"/>
      <c r="L73" s="772"/>
      <c r="M73" s="772"/>
      <c r="N73" s="767">
        <f>SUM(D73:M73)/(10-O$73)</f>
        <v>0</v>
      </c>
      <c r="O73" s="787">
        <f>COUNTIF(D73:M73,"=V")</f>
        <v>0</v>
      </c>
    </row>
    <row r="74" spans="1:15" x14ac:dyDescent="0.2">
      <c r="B74" s="769" t="str">
        <f>B24</f>
        <v>PYRNTE</v>
      </c>
      <c r="C74" s="771">
        <v>2</v>
      </c>
      <c r="D74" s="772"/>
      <c r="E74" s="772"/>
      <c r="F74" s="772"/>
      <c r="G74" s="772"/>
      <c r="H74" s="772"/>
      <c r="I74" s="772"/>
      <c r="J74" s="772"/>
      <c r="K74" s="772"/>
      <c r="L74" s="772"/>
      <c r="M74" s="772"/>
      <c r="N74" s="773">
        <f>SUM(D74:M74)/(10-O$74)</f>
        <v>0</v>
      </c>
      <c r="O74" s="788">
        <f t="shared" ref="O74:O76" si="2">COUNTIF(D74:M74,"=V")</f>
        <v>0</v>
      </c>
    </row>
    <row r="75" spans="1:15" x14ac:dyDescent="0.2">
      <c r="B75" s="769"/>
      <c r="C75" s="771">
        <v>3</v>
      </c>
      <c r="D75" s="772"/>
      <c r="E75" s="772"/>
      <c r="F75" s="772"/>
      <c r="G75" s="772"/>
      <c r="H75" s="772"/>
      <c r="I75" s="772"/>
      <c r="J75" s="772"/>
      <c r="K75" s="772"/>
      <c r="L75" s="772"/>
      <c r="M75" s="772"/>
      <c r="N75" s="773">
        <f>SUM(D75:M75)/(10-O$75)</f>
        <v>0</v>
      </c>
      <c r="O75" s="788">
        <f t="shared" si="2"/>
        <v>0</v>
      </c>
    </row>
    <row r="76" spans="1:15" ht="13.5" thickBot="1" x14ac:dyDescent="0.25">
      <c r="B76" s="778"/>
      <c r="C76" s="775">
        <v>4</v>
      </c>
      <c r="D76" s="776"/>
      <c r="E76" s="776"/>
      <c r="F76" s="776"/>
      <c r="G76" s="776"/>
      <c r="H76" s="776"/>
      <c r="I76" s="776"/>
      <c r="J76" s="776"/>
      <c r="K76" s="776"/>
      <c r="L76" s="776"/>
      <c r="M76" s="776"/>
      <c r="N76" s="777">
        <f>SUM(D76:M76)/(10-O$76)</f>
        <v>0</v>
      </c>
      <c r="O76" s="789">
        <f t="shared" si="2"/>
        <v>0</v>
      </c>
    </row>
    <row r="77" spans="1:15" x14ac:dyDescent="0.2">
      <c r="B77" s="764" t="str">
        <f>B27</f>
        <v xml:space="preserve">  </v>
      </c>
      <c r="C77" s="771">
        <v>1</v>
      </c>
      <c r="D77" s="772"/>
      <c r="E77" s="772"/>
      <c r="F77" s="772"/>
      <c r="G77" s="772"/>
      <c r="H77" s="772"/>
      <c r="I77" s="772"/>
      <c r="J77" s="772"/>
      <c r="K77" s="772"/>
      <c r="L77" s="772"/>
      <c r="M77" s="772"/>
      <c r="N77" s="767">
        <f>SUM(D77:M77)/(10-O$73)</f>
        <v>0</v>
      </c>
      <c r="O77" s="768"/>
    </row>
    <row r="78" spans="1:15" x14ac:dyDescent="0.2">
      <c r="B78" s="769" t="str">
        <f>B28</f>
        <v xml:space="preserve">  </v>
      </c>
      <c r="C78" s="771">
        <v>2</v>
      </c>
      <c r="D78" s="772"/>
      <c r="E78" s="772"/>
      <c r="F78" s="772"/>
      <c r="G78" s="772"/>
      <c r="H78" s="772"/>
      <c r="I78" s="772"/>
      <c r="J78" s="772"/>
      <c r="K78" s="772"/>
      <c r="L78" s="772"/>
      <c r="M78" s="772"/>
      <c r="N78" s="773">
        <f>SUM(D78:M78)/(10-O$74)</f>
        <v>0</v>
      </c>
      <c r="O78" s="768"/>
    </row>
    <row r="79" spans="1:15" x14ac:dyDescent="0.2">
      <c r="B79" s="769"/>
      <c r="C79" s="771">
        <v>3</v>
      </c>
      <c r="D79" s="772"/>
      <c r="E79" s="772"/>
      <c r="F79" s="772"/>
      <c r="G79" s="772"/>
      <c r="H79" s="772"/>
      <c r="I79" s="772"/>
      <c r="J79" s="772"/>
      <c r="K79" s="772"/>
      <c r="L79" s="772"/>
      <c r="M79" s="772"/>
      <c r="N79" s="773">
        <f>SUM(D79:M79)/(10-O$75)</f>
        <v>0</v>
      </c>
      <c r="O79" s="768"/>
    </row>
    <row r="80" spans="1:15" ht="13.5" thickBot="1" x14ac:dyDescent="0.25">
      <c r="A80" s="782"/>
      <c r="B80" s="783"/>
      <c r="C80" s="784">
        <v>4</v>
      </c>
      <c r="D80" s="785"/>
      <c r="E80" s="785"/>
      <c r="F80" s="785"/>
      <c r="G80" s="785"/>
      <c r="H80" s="785"/>
      <c r="I80" s="785"/>
      <c r="J80" s="785"/>
      <c r="K80" s="785"/>
      <c r="L80" s="785"/>
      <c r="M80" s="785"/>
      <c r="N80" s="777">
        <f>SUM(D80:M80)/(10-O$76)</f>
        <v>0</v>
      </c>
      <c r="O80" s="790"/>
    </row>
    <row r="81" spans="1:15" ht="13.5" thickTop="1" x14ac:dyDescent="0.2">
      <c r="A81" s="763" t="s">
        <v>687</v>
      </c>
      <c r="B81" s="764" t="str">
        <f>B61</f>
        <v>Mjöldagg</v>
      </c>
      <c r="C81" s="765">
        <v>1</v>
      </c>
      <c r="D81" s="766"/>
      <c r="E81" s="766"/>
      <c r="F81" s="766"/>
      <c r="G81" s="766"/>
      <c r="H81" s="766"/>
      <c r="I81" s="766"/>
      <c r="J81" s="766"/>
      <c r="K81" s="766"/>
      <c r="L81" s="766"/>
      <c r="M81" s="766"/>
      <c r="N81" s="767">
        <f>SUM(D81:M81)/(10-O$93)</f>
        <v>0</v>
      </c>
      <c r="O81" s="768"/>
    </row>
    <row r="82" spans="1:15" x14ac:dyDescent="0.2">
      <c r="A82" s="770" t="s">
        <v>662</v>
      </c>
      <c r="B82" s="769" t="str">
        <f>B62</f>
        <v>ERYSGR</v>
      </c>
      <c r="C82" s="771">
        <v>2</v>
      </c>
      <c r="D82" s="772"/>
      <c r="E82" s="772"/>
      <c r="F82" s="772"/>
      <c r="G82" s="772"/>
      <c r="H82" s="772"/>
      <c r="I82" s="772"/>
      <c r="J82" s="772"/>
      <c r="K82" s="772"/>
      <c r="L82" s="772"/>
      <c r="M82" s="772"/>
      <c r="N82" s="773">
        <f>SUM(D82:M82)/(10-O$94)</f>
        <v>0</v>
      </c>
      <c r="O82" s="768"/>
    </row>
    <row r="83" spans="1:15" ht="12.75" customHeight="1" x14ac:dyDescent="0.2">
      <c r="A83" s="1031">
        <f>Led!Q98</f>
        <v>24</v>
      </c>
      <c r="B83" s="769"/>
      <c r="C83" s="771">
        <v>3</v>
      </c>
      <c r="D83" s="772"/>
      <c r="E83" s="772"/>
      <c r="F83" s="772"/>
      <c r="G83" s="772"/>
      <c r="H83" s="772"/>
      <c r="I83" s="772"/>
      <c r="J83" s="772"/>
      <c r="K83" s="772"/>
      <c r="L83" s="772"/>
      <c r="M83" s="772"/>
      <c r="N83" s="773">
        <f>SUM(D83:M83)/(10-O$95)</f>
        <v>0</v>
      </c>
      <c r="O83" s="768"/>
    </row>
    <row r="84" spans="1:15" ht="13.5" customHeight="1" thickBot="1" x14ac:dyDescent="0.25">
      <c r="A84" s="1032"/>
      <c r="B84" s="774"/>
      <c r="C84" s="775">
        <v>4</v>
      </c>
      <c r="D84" s="776"/>
      <c r="E84" s="776"/>
      <c r="F84" s="776"/>
      <c r="G84" s="776"/>
      <c r="H84" s="776"/>
      <c r="I84" s="776"/>
      <c r="J84" s="776"/>
      <c r="K84" s="776"/>
      <c r="L84" s="776"/>
      <c r="M84" s="776"/>
      <c r="N84" s="777">
        <f>SUM(D84:M84)/(10-O$96)</f>
        <v>0</v>
      </c>
      <c r="O84" s="768"/>
    </row>
    <row r="85" spans="1:15" x14ac:dyDescent="0.2">
      <c r="B85" s="764" t="str">
        <f>B65</f>
        <v>Kornrost</v>
      </c>
      <c r="C85" s="765">
        <v>1</v>
      </c>
      <c r="D85" s="766"/>
      <c r="E85" s="766"/>
      <c r="F85" s="766"/>
      <c r="G85" s="766"/>
      <c r="H85" s="766"/>
      <c r="I85" s="766"/>
      <c r="J85" s="766"/>
      <c r="K85" s="766"/>
      <c r="L85" s="766"/>
      <c r="M85" s="766"/>
      <c r="N85" s="767">
        <f>SUM(D85:M85)/(10-O$93)</f>
        <v>0</v>
      </c>
      <c r="O85" s="768"/>
    </row>
    <row r="86" spans="1:15" x14ac:dyDescent="0.2">
      <c r="B86" s="769" t="str">
        <f>B66</f>
        <v>PUCCHD</v>
      </c>
      <c r="C86" s="771">
        <v>2</v>
      </c>
      <c r="D86" s="772"/>
      <c r="E86" s="772"/>
      <c r="F86" s="772"/>
      <c r="G86" s="772"/>
      <c r="H86" s="772"/>
      <c r="I86" s="772"/>
      <c r="J86" s="772"/>
      <c r="K86" s="772"/>
      <c r="L86" s="772"/>
      <c r="M86" s="772"/>
      <c r="N86" s="773">
        <f>SUM(D86:M86)/(10-O$94)</f>
        <v>0</v>
      </c>
      <c r="O86" s="768"/>
    </row>
    <row r="87" spans="1:15" x14ac:dyDescent="0.2">
      <c r="B87" s="769"/>
      <c r="C87" s="771">
        <v>3</v>
      </c>
      <c r="D87" s="772"/>
      <c r="E87" s="772"/>
      <c r="F87" s="772"/>
      <c r="G87" s="772"/>
      <c r="H87" s="772"/>
      <c r="I87" s="772"/>
      <c r="J87" s="772"/>
      <c r="K87" s="772"/>
      <c r="L87" s="772"/>
      <c r="M87" s="772"/>
      <c r="N87" s="773">
        <f>SUM(D87:M87)/(10-O$95)</f>
        <v>0</v>
      </c>
      <c r="O87" s="768"/>
    </row>
    <row r="88" spans="1:15" ht="13.5" thickBot="1" x14ac:dyDescent="0.25">
      <c r="B88" s="778"/>
      <c r="C88" s="775">
        <v>4</v>
      </c>
      <c r="D88" s="776"/>
      <c r="E88" s="776"/>
      <c r="F88" s="776"/>
      <c r="G88" s="776"/>
      <c r="H88" s="776"/>
      <c r="I88" s="776"/>
      <c r="J88" s="776"/>
      <c r="K88" s="776"/>
      <c r="L88" s="776"/>
      <c r="M88" s="776"/>
      <c r="N88" s="777">
        <f>SUM(D88:M88)/(10-O$96)</f>
        <v>0</v>
      </c>
      <c r="O88" s="768"/>
    </row>
    <row r="89" spans="1:15" x14ac:dyDescent="0.2">
      <c r="B89" s="764" t="str">
        <f>B69</f>
        <v>Sköldfläcksjuka</v>
      </c>
      <c r="C89" s="771">
        <v>1</v>
      </c>
      <c r="D89" s="772"/>
      <c r="E89" s="772"/>
      <c r="F89" s="772"/>
      <c r="G89" s="772"/>
      <c r="H89" s="772"/>
      <c r="I89" s="772"/>
      <c r="J89" s="772"/>
      <c r="K89" s="772"/>
      <c r="L89" s="772"/>
      <c r="M89" s="772"/>
      <c r="N89" s="767">
        <f>SUM(D89:M89)/(10-O$93)</f>
        <v>0</v>
      </c>
      <c r="O89" s="768"/>
    </row>
    <row r="90" spans="1:15" x14ac:dyDescent="0.2">
      <c r="B90" s="769" t="str">
        <f>B70</f>
        <v>RHYNSE</v>
      </c>
      <c r="C90" s="771">
        <v>2</v>
      </c>
      <c r="D90" s="772"/>
      <c r="E90" s="772"/>
      <c r="F90" s="772"/>
      <c r="G90" s="772"/>
      <c r="H90" s="772"/>
      <c r="I90" s="772"/>
      <c r="J90" s="772"/>
      <c r="K90" s="772"/>
      <c r="L90" s="772"/>
      <c r="M90" s="772"/>
      <c r="N90" s="773">
        <f>SUM(D90:M90)/(10-O$94)</f>
        <v>0</v>
      </c>
      <c r="O90" s="768"/>
    </row>
    <row r="91" spans="1:15" x14ac:dyDescent="0.2">
      <c r="B91" s="769"/>
      <c r="C91" s="771">
        <v>3</v>
      </c>
      <c r="D91" s="772"/>
      <c r="E91" s="772"/>
      <c r="F91" s="772"/>
      <c r="G91" s="772"/>
      <c r="H91" s="772"/>
      <c r="I91" s="772"/>
      <c r="J91" s="772"/>
      <c r="K91" s="772"/>
      <c r="L91" s="772"/>
      <c r="M91" s="772"/>
      <c r="N91" s="773">
        <f>SUM(D91:M91)/(10-O$95)</f>
        <v>0</v>
      </c>
      <c r="O91" s="768"/>
    </row>
    <row r="92" spans="1:15" ht="13.5" thickBot="1" x14ac:dyDescent="0.25">
      <c r="B92" s="778"/>
      <c r="C92" s="775">
        <v>4</v>
      </c>
      <c r="D92" s="776"/>
      <c r="E92" s="776"/>
      <c r="F92" s="776"/>
      <c r="G92" s="776"/>
      <c r="H92" s="776"/>
      <c r="I92" s="776"/>
      <c r="J92" s="776"/>
      <c r="K92" s="776"/>
      <c r="L92" s="776"/>
      <c r="M92" s="776"/>
      <c r="N92" s="777">
        <f>SUM(D92:M92)/(10-O$96)</f>
        <v>0</v>
      </c>
      <c r="O92" s="768"/>
    </row>
    <row r="93" spans="1:15" x14ac:dyDescent="0.2">
      <c r="B93" s="764" t="str">
        <f>B73</f>
        <v>Bladfläcksjuka</v>
      </c>
      <c r="C93" s="771">
        <v>1</v>
      </c>
      <c r="D93" s="772"/>
      <c r="E93" s="772"/>
      <c r="F93" s="772"/>
      <c r="G93" s="772"/>
      <c r="H93" s="772"/>
      <c r="I93" s="772"/>
      <c r="J93" s="772"/>
      <c r="K93" s="772"/>
      <c r="L93" s="772"/>
      <c r="M93" s="772"/>
      <c r="N93" s="767">
        <f>SUM(D93:M93)/(10-O$93)</f>
        <v>0</v>
      </c>
      <c r="O93" s="787">
        <f>COUNTIF(D93:M93,"=V")</f>
        <v>0</v>
      </c>
    </row>
    <row r="94" spans="1:15" x14ac:dyDescent="0.2">
      <c r="B94" s="769" t="str">
        <f>B74</f>
        <v>PYRNTE</v>
      </c>
      <c r="C94" s="771">
        <v>2</v>
      </c>
      <c r="D94" s="772"/>
      <c r="E94" s="772"/>
      <c r="F94" s="772"/>
      <c r="G94" s="772"/>
      <c r="H94" s="772"/>
      <c r="I94" s="772"/>
      <c r="J94" s="772"/>
      <c r="K94" s="772"/>
      <c r="L94" s="772"/>
      <c r="M94" s="772"/>
      <c r="N94" s="773">
        <f>SUM(D94:M94)/(10-O$94)</f>
        <v>0</v>
      </c>
      <c r="O94" s="788">
        <f t="shared" ref="O94:O96" si="3">COUNTIF(D94:M94,"=V")</f>
        <v>0</v>
      </c>
    </row>
    <row r="95" spans="1:15" x14ac:dyDescent="0.2">
      <c r="B95" s="769"/>
      <c r="C95" s="771">
        <v>3</v>
      </c>
      <c r="D95" s="772"/>
      <c r="E95" s="772"/>
      <c r="F95" s="772"/>
      <c r="G95" s="772"/>
      <c r="H95" s="772"/>
      <c r="I95" s="772"/>
      <c r="J95" s="772"/>
      <c r="K95" s="772"/>
      <c r="L95" s="772"/>
      <c r="M95" s="772"/>
      <c r="N95" s="773">
        <f>SUM(D95:M95)/(10-O$95)</f>
        <v>0</v>
      </c>
      <c r="O95" s="788">
        <f t="shared" si="3"/>
        <v>0</v>
      </c>
    </row>
    <row r="96" spans="1:15" ht="13.5" thickBot="1" x14ac:dyDescent="0.25">
      <c r="B96" s="778"/>
      <c r="C96" s="775">
        <v>4</v>
      </c>
      <c r="D96" s="776"/>
      <c r="E96" s="776"/>
      <c r="F96" s="776"/>
      <c r="G96" s="776"/>
      <c r="H96" s="776"/>
      <c r="I96" s="776"/>
      <c r="J96" s="776"/>
      <c r="K96" s="776"/>
      <c r="L96" s="776"/>
      <c r="M96" s="776"/>
      <c r="N96" s="777">
        <f>SUM(D96:M96)/(10-O$96)</f>
        <v>0</v>
      </c>
      <c r="O96" s="789">
        <f t="shared" si="3"/>
        <v>0</v>
      </c>
    </row>
    <row r="97" spans="1:23" x14ac:dyDescent="0.2">
      <c r="B97" s="764" t="str">
        <f>B77</f>
        <v xml:space="preserve">  </v>
      </c>
      <c r="C97" s="771">
        <v>1</v>
      </c>
      <c r="D97" s="772"/>
      <c r="E97" s="772"/>
      <c r="F97" s="772"/>
      <c r="G97" s="772"/>
      <c r="H97" s="772"/>
      <c r="I97" s="772"/>
      <c r="J97" s="772"/>
      <c r="K97" s="772"/>
      <c r="L97" s="772"/>
      <c r="M97" s="772"/>
      <c r="N97" s="767">
        <f>SUM(D97:M97)/(10-O$93)</f>
        <v>0</v>
      </c>
      <c r="O97" s="768"/>
    </row>
    <row r="98" spans="1:23" x14ac:dyDescent="0.2">
      <c r="B98" s="769" t="str">
        <f>B78</f>
        <v xml:space="preserve">  </v>
      </c>
      <c r="C98" s="771">
        <v>2</v>
      </c>
      <c r="D98" s="772"/>
      <c r="E98" s="772"/>
      <c r="F98" s="772"/>
      <c r="G98" s="772"/>
      <c r="H98" s="772"/>
      <c r="I98" s="772"/>
      <c r="J98" s="772"/>
      <c r="K98" s="772"/>
      <c r="L98" s="772"/>
      <c r="M98" s="772"/>
      <c r="N98" s="773">
        <f>SUM(D98:M98)/(10-O$94)</f>
        <v>0</v>
      </c>
      <c r="O98" s="768"/>
    </row>
    <row r="99" spans="1:23" x14ac:dyDescent="0.2">
      <c r="B99" s="769"/>
      <c r="C99" s="771">
        <v>3</v>
      </c>
      <c r="D99" s="772"/>
      <c r="E99" s="772"/>
      <c r="F99" s="772"/>
      <c r="G99" s="772"/>
      <c r="H99" s="772"/>
      <c r="I99" s="772"/>
      <c r="J99" s="772"/>
      <c r="K99" s="772"/>
      <c r="L99" s="772"/>
      <c r="M99" s="772"/>
      <c r="N99" s="773">
        <f>SUM(D99:M99)/(10-O$95)</f>
        <v>0</v>
      </c>
      <c r="O99" s="768"/>
    </row>
    <row r="100" spans="1:23" ht="13.5" thickBot="1" x14ac:dyDescent="0.25">
      <c r="A100" s="782"/>
      <c r="B100" s="783"/>
      <c r="C100" s="784">
        <v>4</v>
      </c>
      <c r="D100" s="785"/>
      <c r="E100" s="785"/>
      <c r="F100" s="785"/>
      <c r="G100" s="785"/>
      <c r="H100" s="785"/>
      <c r="I100" s="785"/>
      <c r="J100" s="785"/>
      <c r="K100" s="785"/>
      <c r="L100" s="785"/>
      <c r="M100" s="785"/>
      <c r="N100" s="777">
        <f>SUM(D100:M100)/(10-O$96)</f>
        <v>0</v>
      </c>
      <c r="O100" s="768"/>
    </row>
    <row r="101" spans="1:23" ht="8.25" customHeight="1" thickTop="1" x14ac:dyDescent="0.2"/>
    <row r="102" spans="1:23" ht="14.25" customHeight="1" thickBot="1" x14ac:dyDescent="0.3">
      <c r="B102" s="791" t="s">
        <v>688</v>
      </c>
      <c r="C102" s="759"/>
      <c r="D102" s="792" t="s">
        <v>689</v>
      </c>
      <c r="E102" s="759"/>
      <c r="F102" s="793">
        <v>1</v>
      </c>
      <c r="G102" s="794">
        <v>2</v>
      </c>
      <c r="H102" s="794">
        <v>3</v>
      </c>
      <c r="I102" s="794">
        <v>4</v>
      </c>
      <c r="J102" s="795" t="s">
        <v>690</v>
      </c>
      <c r="K102" s="759"/>
    </row>
    <row r="103" spans="1:23" x14ac:dyDescent="0.2">
      <c r="B103" s="757" t="str">
        <f>B11</f>
        <v>Mjöldagg</v>
      </c>
      <c r="C103" s="757" t="str">
        <f>B12</f>
        <v>ERYSGR</v>
      </c>
      <c r="D103" s="757"/>
      <c r="F103" s="796">
        <f>AVERAGE(N11,N31,N61,N81)</f>
        <v>0</v>
      </c>
      <c r="G103" s="796">
        <f>AVERAGE(N12,N32,N62,N82)</f>
        <v>0</v>
      </c>
      <c r="H103" s="796">
        <f>AVERAGE(N13,N33,N63,N83)</f>
        <v>0</v>
      </c>
      <c r="I103" s="796">
        <f>AVERAGE(N14,N34,N64,N84)</f>
        <v>0</v>
      </c>
      <c r="J103" s="797" t="str">
        <f>IF(ISNUMBER(F103),FIXED(F103),"------")</f>
        <v>0.00</v>
      </c>
      <c r="K103" s="797" t="str">
        <f t="shared" ref="K103:M108" si="4">IF(ISNUMBER(G103),FIXED(G103),"------")</f>
        <v>0.00</v>
      </c>
      <c r="L103" s="797" t="str">
        <f t="shared" si="4"/>
        <v>0.00</v>
      </c>
      <c r="M103" s="797" t="str">
        <f t="shared" si="4"/>
        <v>0.00</v>
      </c>
      <c r="N103" s="797" t="str">
        <f>CONCATENATE(J103,"-",K103,"-",L103,"-",M103)</f>
        <v>0.00-0.00-0.00-0.00</v>
      </c>
      <c r="O103" s="768"/>
      <c r="R103" s="753" t="str">
        <f t="shared" ref="R103:R108" si="5">C103</f>
        <v>ERYSGR</v>
      </c>
      <c r="S103" s="753" t="str">
        <f>IF(ISNUMBER(F103),FIXED(F103),"------")</f>
        <v>0.00</v>
      </c>
      <c r="T103" s="753" t="str">
        <f t="shared" ref="T103:V103" si="6">IF(ISNUMBER(G103),FIXED(G103),"------")</f>
        <v>0.00</v>
      </c>
      <c r="U103" s="753" t="str">
        <f t="shared" si="6"/>
        <v>0.00</v>
      </c>
      <c r="V103" s="753" t="str">
        <f t="shared" si="6"/>
        <v>0.00</v>
      </c>
      <c r="W103" s="798" t="str">
        <f>CONCATENATE(S103,"-",T103,"-",U103,"-",V103)</f>
        <v>0.00-0.00-0.00-0.00</v>
      </c>
    </row>
    <row r="104" spans="1:23" x14ac:dyDescent="0.2">
      <c r="B104" s="757" t="str">
        <f>B65</f>
        <v>Kornrost</v>
      </c>
      <c r="C104" s="757" t="str">
        <f>B66</f>
        <v>PUCCHD</v>
      </c>
      <c r="D104" s="757"/>
      <c r="F104" s="796">
        <f>AVERAGE(N15,N35,N65,N85)</f>
        <v>0</v>
      </c>
      <c r="G104" s="796">
        <f>AVERAGE(N16,N36,N66,N86)</f>
        <v>0</v>
      </c>
      <c r="H104" s="796">
        <f>AVERAGE(N17,N37,N67,N87)</f>
        <v>0</v>
      </c>
      <c r="I104" s="796">
        <f>AVERAGE(N18,N38,N68,N88)</f>
        <v>0</v>
      </c>
      <c r="J104" s="797" t="str">
        <f t="shared" ref="J104:J108" si="7">IF(ISNUMBER(F104),FIXED(F104),"------")</f>
        <v>0.00</v>
      </c>
      <c r="K104" s="797" t="str">
        <f t="shared" si="4"/>
        <v>0.00</v>
      </c>
      <c r="L104" s="797" t="str">
        <f t="shared" si="4"/>
        <v>0.00</v>
      </c>
      <c r="M104" s="797" t="str">
        <f t="shared" si="4"/>
        <v>0.00</v>
      </c>
      <c r="N104" s="797" t="str">
        <f t="shared" ref="N104:N108" si="8">CONCATENATE(J104,"-",K104,"-",L104,"-",M104)</f>
        <v>0.00-0.00-0.00-0.00</v>
      </c>
      <c r="O104" s="768"/>
      <c r="R104" s="753" t="str">
        <f t="shared" si="5"/>
        <v>PUCCHD</v>
      </c>
      <c r="S104" s="753" t="str">
        <f t="shared" ref="S104:S108" si="9">IF(ISNUMBER(F104),FIXED(F104),"------")</f>
        <v>0.00</v>
      </c>
      <c r="T104" s="753" t="str">
        <f t="shared" ref="T104:T108" si="10">IF(ISNUMBER(G104),FIXED(G104),"------")</f>
        <v>0.00</v>
      </c>
      <c r="U104" s="753" t="str">
        <f t="shared" ref="U104:U108" si="11">IF(ISNUMBER(H104),FIXED(H104),"------")</f>
        <v>0.00</v>
      </c>
      <c r="V104" s="753" t="str">
        <f t="shared" ref="V104:V108" si="12">IF(ISNUMBER(I104),FIXED(I104),"------")</f>
        <v>0.00</v>
      </c>
      <c r="W104" s="798" t="str">
        <f t="shared" ref="W104:W108" si="13">CONCATENATE(S104,"-",T104,"-",U104,"-",V104)</f>
        <v>0.00-0.00-0.00-0.00</v>
      </c>
    </row>
    <row r="105" spans="1:23" x14ac:dyDescent="0.2">
      <c r="B105" s="757" t="str">
        <f>B69</f>
        <v>Sköldfläcksjuka</v>
      </c>
      <c r="C105" s="757" t="str">
        <f>B70</f>
        <v>RHYNSE</v>
      </c>
      <c r="D105" s="757"/>
      <c r="F105" s="796">
        <f>AVERAGE(N19,N39,N69,N89)</f>
        <v>0</v>
      </c>
      <c r="G105" s="796">
        <f>AVERAGE(N20,N40,N70,N90)</f>
        <v>0</v>
      </c>
      <c r="H105" s="796">
        <f>AVERAGE(N21,N41,N71,N91)</f>
        <v>0</v>
      </c>
      <c r="I105" s="796">
        <f>AVERAGE(N22,N42,N72,N92)</f>
        <v>0</v>
      </c>
      <c r="J105" s="797" t="str">
        <f t="shared" si="7"/>
        <v>0.00</v>
      </c>
      <c r="K105" s="797" t="str">
        <f t="shared" si="4"/>
        <v>0.00</v>
      </c>
      <c r="L105" s="797" t="str">
        <f t="shared" si="4"/>
        <v>0.00</v>
      </c>
      <c r="M105" s="797" t="str">
        <f t="shared" si="4"/>
        <v>0.00</v>
      </c>
      <c r="N105" s="797" t="str">
        <f t="shared" si="8"/>
        <v>0.00-0.00-0.00-0.00</v>
      </c>
      <c r="O105" s="768"/>
      <c r="R105" s="753" t="str">
        <f t="shared" si="5"/>
        <v>RHYNSE</v>
      </c>
      <c r="S105" s="753" t="str">
        <f t="shared" si="9"/>
        <v>0.00</v>
      </c>
      <c r="T105" s="753" t="str">
        <f t="shared" si="10"/>
        <v>0.00</v>
      </c>
      <c r="U105" s="753" t="str">
        <f t="shared" si="11"/>
        <v>0.00</v>
      </c>
      <c r="V105" s="753" t="str">
        <f t="shared" si="12"/>
        <v>0.00</v>
      </c>
      <c r="W105" s="798" t="str">
        <f t="shared" si="13"/>
        <v>0.00-0.00-0.00-0.00</v>
      </c>
    </row>
    <row r="106" spans="1:23" x14ac:dyDescent="0.2">
      <c r="B106" s="757" t="str">
        <f>B73</f>
        <v>Bladfläcksjuka</v>
      </c>
      <c r="C106" s="757" t="str">
        <f>B74</f>
        <v>PYRNTE</v>
      </c>
      <c r="D106" s="757"/>
      <c r="F106" s="796">
        <f>AVERAGE(N23,N43,N73,N93)</f>
        <v>0</v>
      </c>
      <c r="G106" s="796">
        <f>AVERAGE(N24,N44,N74,N94)</f>
        <v>0</v>
      </c>
      <c r="H106" s="796">
        <f>AVERAGE(N25,N45,N75,N95)</f>
        <v>0</v>
      </c>
      <c r="I106" s="796">
        <f>AVERAGE(N26,N46,N76,N96)</f>
        <v>0</v>
      </c>
      <c r="J106" s="797" t="str">
        <f t="shared" si="7"/>
        <v>0.00</v>
      </c>
      <c r="K106" s="797" t="str">
        <f t="shared" si="4"/>
        <v>0.00</v>
      </c>
      <c r="L106" s="797" t="str">
        <f t="shared" si="4"/>
        <v>0.00</v>
      </c>
      <c r="M106" s="797" t="str">
        <f t="shared" si="4"/>
        <v>0.00</v>
      </c>
      <c r="N106" s="797" t="str">
        <f t="shared" si="8"/>
        <v>0.00-0.00-0.00-0.00</v>
      </c>
      <c r="O106" s="768"/>
      <c r="R106" s="753" t="str">
        <f t="shared" si="5"/>
        <v>PYRNTE</v>
      </c>
      <c r="S106" s="753" t="str">
        <f t="shared" si="9"/>
        <v>0.00</v>
      </c>
      <c r="T106" s="753" t="str">
        <f t="shared" si="10"/>
        <v>0.00</v>
      </c>
      <c r="U106" s="753" t="str">
        <f t="shared" si="11"/>
        <v>0.00</v>
      </c>
      <c r="V106" s="753" t="str">
        <f t="shared" si="12"/>
        <v>0.00</v>
      </c>
      <c r="W106" s="798" t="str">
        <f t="shared" si="13"/>
        <v>0.00-0.00-0.00-0.00</v>
      </c>
    </row>
    <row r="107" spans="1:23" x14ac:dyDescent="0.2">
      <c r="B107" s="757" t="str">
        <f>B77</f>
        <v xml:space="preserve">  </v>
      </c>
      <c r="C107" s="757" t="str">
        <f>B78</f>
        <v xml:space="preserve">  </v>
      </c>
      <c r="D107" s="757"/>
      <c r="F107" s="796">
        <f>AVERAGE(N27,N47,N77,N97)</f>
        <v>0</v>
      </c>
      <c r="G107" s="796">
        <f>AVERAGE(N28,N48,N78,N98)</f>
        <v>0</v>
      </c>
      <c r="H107" s="796">
        <f>AVERAGE(N29,N49,N79,N99)</f>
        <v>0</v>
      </c>
      <c r="I107" s="796">
        <f>AVERAGE(N30,N50,N80,N100)</f>
        <v>0</v>
      </c>
      <c r="J107" s="797" t="str">
        <f t="shared" si="7"/>
        <v>0.00</v>
      </c>
      <c r="K107" s="797" t="str">
        <f t="shared" si="4"/>
        <v>0.00</v>
      </c>
      <c r="L107" s="797" t="str">
        <f t="shared" si="4"/>
        <v>0.00</v>
      </c>
      <c r="M107" s="797" t="str">
        <f t="shared" si="4"/>
        <v>0.00</v>
      </c>
      <c r="N107" s="797" t="str">
        <f t="shared" si="8"/>
        <v>0.00-0.00-0.00-0.00</v>
      </c>
      <c r="O107" s="768"/>
      <c r="R107" s="753" t="str">
        <f t="shared" si="5"/>
        <v xml:space="preserve">  </v>
      </c>
      <c r="S107" s="753" t="str">
        <f t="shared" si="9"/>
        <v>0.00</v>
      </c>
      <c r="T107" s="753" t="str">
        <f t="shared" si="10"/>
        <v>0.00</v>
      </c>
      <c r="U107" s="753" t="str">
        <f t="shared" si="11"/>
        <v>0.00</v>
      </c>
      <c r="V107" s="753" t="str">
        <f t="shared" si="12"/>
        <v>0.00</v>
      </c>
      <c r="W107" s="798" t="str">
        <f t="shared" si="13"/>
        <v>0.00-0.00-0.00-0.00</v>
      </c>
    </row>
    <row r="108" spans="1:23" x14ac:dyDescent="0.2">
      <c r="B108" s="757" t="s">
        <v>691</v>
      </c>
      <c r="C108" s="753" t="str">
        <f>B108</f>
        <v>Andel vissna</v>
      </c>
      <c r="F108" s="796">
        <f>10*AVERAGE(O23,O43,O73,O93)</f>
        <v>0</v>
      </c>
      <c r="G108" s="796">
        <f>10*AVERAGE(O24,O44,O74,O94)</f>
        <v>0</v>
      </c>
      <c r="H108" s="796">
        <f>10*AVERAGE(O25,O45,O75,O95)</f>
        <v>0</v>
      </c>
      <c r="I108" s="796">
        <f>10*AVERAGE(O26,O46,O76,O96)</f>
        <v>0</v>
      </c>
      <c r="J108" s="797" t="str">
        <f t="shared" si="7"/>
        <v>0.00</v>
      </c>
      <c r="K108" s="797" t="str">
        <f t="shared" si="4"/>
        <v>0.00</v>
      </c>
      <c r="L108" s="797" t="str">
        <f t="shared" si="4"/>
        <v>0.00</v>
      </c>
      <c r="M108" s="797" t="str">
        <f t="shared" si="4"/>
        <v>0.00</v>
      </c>
      <c r="N108" s="797" t="str">
        <f t="shared" si="8"/>
        <v>0.00-0.00-0.00-0.00</v>
      </c>
      <c r="O108" s="768"/>
      <c r="R108" s="753" t="str">
        <f t="shared" si="5"/>
        <v>Andel vissna</v>
      </c>
      <c r="S108" s="753" t="str">
        <f t="shared" si="9"/>
        <v>0.00</v>
      </c>
      <c r="T108" s="753" t="str">
        <f t="shared" si="10"/>
        <v>0.00</v>
      </c>
      <c r="U108" s="753" t="str">
        <f t="shared" si="11"/>
        <v>0.00</v>
      </c>
      <c r="V108" s="753" t="str">
        <f t="shared" si="12"/>
        <v>0.00</v>
      </c>
      <c r="W108" s="798" t="str">
        <f t="shared" si="13"/>
        <v>0.00-0.00-0.00-0.00</v>
      </c>
    </row>
  </sheetData>
  <sheetProtection sheet="1" objects="1" scenarios="1"/>
  <mergeCells count="29">
    <mergeCell ref="D59:M59"/>
    <mergeCell ref="A63:A64"/>
    <mergeCell ref="A83:A84"/>
    <mergeCell ref="A57:B57"/>
    <mergeCell ref="C57:E57"/>
    <mergeCell ref="F57:H57"/>
    <mergeCell ref="I57:L57"/>
    <mergeCell ref="M57:N57"/>
    <mergeCell ref="D58:N58"/>
    <mergeCell ref="D9:M9"/>
    <mergeCell ref="A13:A14"/>
    <mergeCell ref="A33:A34"/>
    <mergeCell ref="A56:B56"/>
    <mergeCell ref="C56:E56"/>
    <mergeCell ref="F56:H56"/>
    <mergeCell ref="I56:L56"/>
    <mergeCell ref="M56:N56"/>
    <mergeCell ref="D7:N7"/>
    <mergeCell ref="C3:E3"/>
    <mergeCell ref="A5:B5"/>
    <mergeCell ref="C5:E5"/>
    <mergeCell ref="F5:H5"/>
    <mergeCell ref="I5:L5"/>
    <mergeCell ref="M5:N5"/>
    <mergeCell ref="A6:B6"/>
    <mergeCell ref="C6:E6"/>
    <mergeCell ref="F6:H6"/>
    <mergeCell ref="I6:L6"/>
    <mergeCell ref="M6:N6"/>
  </mergeCells>
  <conditionalFormatting sqref="F103:I108">
    <cfRule type="containsErrors" dxfId="119" priority="35">
      <formula>ISERROR(F103)</formula>
    </cfRule>
  </conditionalFormatting>
  <conditionalFormatting sqref="N11:N50">
    <cfRule type="expression" dxfId="118" priority="33">
      <formula>IF(OR(ISNUMBER(D11),ISTEXT(D11)),1,0)</formula>
    </cfRule>
    <cfRule type="containsErrors" dxfId="117" priority="34">
      <formula>ISERROR(N11)</formula>
    </cfRule>
  </conditionalFormatting>
  <conditionalFormatting sqref="O23:O26">
    <cfRule type="expression" dxfId="116" priority="32">
      <formula>IF(OR(ISNUMBER(D23),ISTEXT(D23)),1,0)</formula>
    </cfRule>
  </conditionalFormatting>
  <conditionalFormatting sqref="O43:O46">
    <cfRule type="expression" dxfId="115" priority="31">
      <formula>IF(OR(ISNUMBER(D43),ISTEXT(D43)),1,0)</formula>
    </cfRule>
  </conditionalFormatting>
  <conditionalFormatting sqref="O73:O76">
    <cfRule type="expression" dxfId="114" priority="28">
      <formula>IF(OR(ISNUMBER(D73),ISTEXT(D73)),1,0)</formula>
    </cfRule>
  </conditionalFormatting>
  <conditionalFormatting sqref="O93:O96">
    <cfRule type="expression" dxfId="113" priority="27">
      <formula>IF(OR(ISNUMBER(D93),ISTEXT(D93)),1,0)</formula>
    </cfRule>
  </conditionalFormatting>
  <conditionalFormatting sqref="N61:N64">
    <cfRule type="expression" dxfId="112" priority="25">
      <formula>IF(OR(ISNUMBER(D61),ISTEXT(D61)),1,0)</formula>
    </cfRule>
    <cfRule type="containsErrors" dxfId="111" priority="26">
      <formula>ISERROR(N61)</formula>
    </cfRule>
  </conditionalFormatting>
  <conditionalFormatting sqref="N65:N68">
    <cfRule type="expression" dxfId="110" priority="23">
      <formula>IF(OR(ISNUMBER(D65),ISTEXT(D65)),1,0)</formula>
    </cfRule>
    <cfRule type="containsErrors" dxfId="109" priority="24">
      <formula>ISERROR(N65)</formula>
    </cfRule>
  </conditionalFormatting>
  <conditionalFormatting sqref="N69:N72">
    <cfRule type="expression" dxfId="108" priority="21">
      <formula>IF(OR(ISNUMBER(D69),ISTEXT(D69)),1,0)</formula>
    </cfRule>
    <cfRule type="containsErrors" dxfId="107" priority="22">
      <formula>ISERROR(N69)</formula>
    </cfRule>
  </conditionalFormatting>
  <conditionalFormatting sqref="N73:N76">
    <cfRule type="expression" dxfId="106" priority="19">
      <formula>IF(OR(ISNUMBER(D73),ISTEXT(D73)),1,0)</formula>
    </cfRule>
    <cfRule type="containsErrors" dxfId="105" priority="20">
      <formula>ISERROR(N73)</formula>
    </cfRule>
  </conditionalFormatting>
  <conditionalFormatting sqref="N77:N80">
    <cfRule type="expression" dxfId="104" priority="17">
      <formula>IF(OR(ISNUMBER(D77),ISTEXT(D77)),1,0)</formula>
    </cfRule>
    <cfRule type="containsErrors" dxfId="103" priority="18">
      <formula>ISERROR(N77)</formula>
    </cfRule>
  </conditionalFormatting>
  <conditionalFormatting sqref="N93:N96">
    <cfRule type="expression" dxfId="102" priority="9">
      <formula>IF(OR(ISNUMBER(D93),ISTEXT(D93)),1,0)</formula>
    </cfRule>
    <cfRule type="containsErrors" dxfId="101" priority="10">
      <formula>ISERROR(N93)</formula>
    </cfRule>
  </conditionalFormatting>
  <conditionalFormatting sqref="N81:N84">
    <cfRule type="expression" dxfId="100" priority="7">
      <formula>IF(OR(ISNUMBER(D81),ISTEXT(D81)),1,0)</formula>
    </cfRule>
    <cfRule type="containsErrors" dxfId="99" priority="8">
      <formula>ISERROR(N81)</formula>
    </cfRule>
  </conditionalFormatting>
  <conditionalFormatting sqref="N85:N88">
    <cfRule type="expression" dxfId="98" priority="5">
      <formula>IF(OR(ISNUMBER(D85),ISTEXT(D85)),1,0)</formula>
    </cfRule>
    <cfRule type="containsErrors" dxfId="97" priority="6">
      <formula>ISERROR(N85)</formula>
    </cfRule>
  </conditionalFormatting>
  <conditionalFormatting sqref="N89:N92">
    <cfRule type="expression" dxfId="96" priority="3">
      <formula>IF(OR(ISNUMBER(D89),ISTEXT(D89)),1,0)</formula>
    </cfRule>
    <cfRule type="containsErrors" dxfId="95" priority="4">
      <formula>ISERROR(N89)</formula>
    </cfRule>
  </conditionalFormatting>
  <conditionalFormatting sqref="N97:N100">
    <cfRule type="expression" dxfId="94" priority="1">
      <formula>IF(OR(ISNUMBER(D97),ISTEXT(D97)),1,0)</formula>
    </cfRule>
    <cfRule type="containsErrors" dxfId="93" priority="2">
      <formula>ISERROR(N97)</formula>
    </cfRule>
  </conditionalFormatting>
  <dataValidations count="1">
    <dataValidation type="list" allowBlank="1" showInputMessage="1" showErrorMessage="1" sqref="WVK983044:WVM983044 WLO983044:WLQ983044 WBS983044:WBU983044 VRW983044:VRY983044 VIA983044:VIC983044 UYE983044:UYG983044 UOI983044:UOK983044 UEM983044:UEO983044 TUQ983044:TUS983044 TKU983044:TKW983044 TAY983044:TBA983044 SRC983044:SRE983044 SHG983044:SHI983044 RXK983044:RXM983044 RNO983044:RNQ983044 RDS983044:RDU983044 QTW983044:QTY983044 QKA983044:QKC983044 QAE983044:QAG983044 PQI983044:PQK983044 PGM983044:PGO983044 OWQ983044:OWS983044 OMU983044:OMW983044 OCY983044:ODA983044 NTC983044:NTE983044 NJG983044:NJI983044 MZK983044:MZM983044 MPO983044:MPQ983044 MFS983044:MFU983044 LVW983044:LVY983044 LMA983044:LMC983044 LCE983044:LCG983044 KSI983044:KSK983044 KIM983044:KIO983044 JYQ983044:JYS983044 JOU983044:JOW983044 JEY983044:JFA983044 IVC983044:IVE983044 ILG983044:ILI983044 IBK983044:IBM983044 HRO983044:HRQ983044 HHS983044:HHU983044 GXW983044:GXY983044 GOA983044:GOC983044 GEE983044:GEG983044 FUI983044:FUK983044 FKM983044:FKO983044 FAQ983044:FAS983044 EQU983044:EQW983044 EGY983044:EHA983044 DXC983044:DXE983044 DNG983044:DNI983044 DDK983044:DDM983044 CTO983044:CTQ983044 CJS983044:CJU983044 BZW983044:BZY983044 BQA983044:BQC983044 BGE983044:BGG983044 AWI983044:AWK983044 AMM983044:AMO983044 ACQ983044:ACS983044 SU983044:SW983044 IY983044:JA983044 C983044:E983044 WVK917508:WVM917508 WLO917508:WLQ917508 WBS917508:WBU917508 VRW917508:VRY917508 VIA917508:VIC917508 UYE917508:UYG917508 UOI917508:UOK917508 UEM917508:UEO917508 TUQ917508:TUS917508 TKU917508:TKW917508 TAY917508:TBA917508 SRC917508:SRE917508 SHG917508:SHI917508 RXK917508:RXM917508 RNO917508:RNQ917508 RDS917508:RDU917508 QTW917508:QTY917508 QKA917508:QKC917508 QAE917508:QAG917508 PQI917508:PQK917508 PGM917508:PGO917508 OWQ917508:OWS917508 OMU917508:OMW917508 OCY917508:ODA917508 NTC917508:NTE917508 NJG917508:NJI917508 MZK917508:MZM917508 MPO917508:MPQ917508 MFS917508:MFU917508 LVW917508:LVY917508 LMA917508:LMC917508 LCE917508:LCG917508 KSI917508:KSK917508 KIM917508:KIO917508 JYQ917508:JYS917508 JOU917508:JOW917508 JEY917508:JFA917508 IVC917508:IVE917508 ILG917508:ILI917508 IBK917508:IBM917508 HRO917508:HRQ917508 HHS917508:HHU917508 GXW917508:GXY917508 GOA917508:GOC917508 GEE917508:GEG917508 FUI917508:FUK917508 FKM917508:FKO917508 FAQ917508:FAS917508 EQU917508:EQW917508 EGY917508:EHA917508 DXC917508:DXE917508 DNG917508:DNI917508 DDK917508:DDM917508 CTO917508:CTQ917508 CJS917508:CJU917508 BZW917508:BZY917508 BQA917508:BQC917508 BGE917508:BGG917508 AWI917508:AWK917508 AMM917508:AMO917508 ACQ917508:ACS917508 SU917508:SW917508 IY917508:JA917508 C917508:E917508 WVK851972:WVM851972 WLO851972:WLQ851972 WBS851972:WBU851972 VRW851972:VRY851972 VIA851972:VIC851972 UYE851972:UYG851972 UOI851972:UOK851972 UEM851972:UEO851972 TUQ851972:TUS851972 TKU851972:TKW851972 TAY851972:TBA851972 SRC851972:SRE851972 SHG851972:SHI851972 RXK851972:RXM851972 RNO851972:RNQ851972 RDS851972:RDU851972 QTW851972:QTY851972 QKA851972:QKC851972 QAE851972:QAG851972 PQI851972:PQK851972 PGM851972:PGO851972 OWQ851972:OWS851972 OMU851972:OMW851972 OCY851972:ODA851972 NTC851972:NTE851972 NJG851972:NJI851972 MZK851972:MZM851972 MPO851972:MPQ851972 MFS851972:MFU851972 LVW851972:LVY851972 LMA851972:LMC851972 LCE851972:LCG851972 KSI851972:KSK851972 KIM851972:KIO851972 JYQ851972:JYS851972 JOU851972:JOW851972 JEY851972:JFA851972 IVC851972:IVE851972 ILG851972:ILI851972 IBK851972:IBM851972 HRO851972:HRQ851972 HHS851972:HHU851972 GXW851972:GXY851972 GOA851972:GOC851972 GEE851972:GEG851972 FUI851972:FUK851972 FKM851972:FKO851972 FAQ851972:FAS851972 EQU851972:EQW851972 EGY851972:EHA851972 DXC851972:DXE851972 DNG851972:DNI851972 DDK851972:DDM851972 CTO851972:CTQ851972 CJS851972:CJU851972 BZW851972:BZY851972 BQA851972:BQC851972 BGE851972:BGG851972 AWI851972:AWK851972 AMM851972:AMO851972 ACQ851972:ACS851972 SU851972:SW851972 IY851972:JA851972 C851972:E851972 WVK786436:WVM786436 WLO786436:WLQ786436 WBS786436:WBU786436 VRW786436:VRY786436 VIA786436:VIC786436 UYE786436:UYG786436 UOI786436:UOK786436 UEM786436:UEO786436 TUQ786436:TUS786436 TKU786436:TKW786436 TAY786436:TBA786436 SRC786436:SRE786436 SHG786436:SHI786436 RXK786436:RXM786436 RNO786436:RNQ786436 RDS786436:RDU786436 QTW786436:QTY786436 QKA786436:QKC786436 QAE786436:QAG786436 PQI786436:PQK786436 PGM786436:PGO786436 OWQ786436:OWS786436 OMU786436:OMW786436 OCY786436:ODA786436 NTC786436:NTE786436 NJG786436:NJI786436 MZK786436:MZM786436 MPO786436:MPQ786436 MFS786436:MFU786436 LVW786436:LVY786436 LMA786436:LMC786436 LCE786436:LCG786436 KSI786436:KSK786436 KIM786436:KIO786436 JYQ786436:JYS786436 JOU786436:JOW786436 JEY786436:JFA786436 IVC786436:IVE786436 ILG786436:ILI786436 IBK786436:IBM786436 HRO786436:HRQ786436 HHS786436:HHU786436 GXW786436:GXY786436 GOA786436:GOC786436 GEE786436:GEG786436 FUI786436:FUK786436 FKM786436:FKO786436 FAQ786436:FAS786436 EQU786436:EQW786436 EGY786436:EHA786436 DXC786436:DXE786436 DNG786436:DNI786436 DDK786436:DDM786436 CTO786436:CTQ786436 CJS786436:CJU786436 BZW786436:BZY786436 BQA786436:BQC786436 BGE786436:BGG786436 AWI786436:AWK786436 AMM786436:AMO786436 ACQ786436:ACS786436 SU786436:SW786436 IY786436:JA786436 C786436:E786436 WVK720900:WVM720900 WLO720900:WLQ720900 WBS720900:WBU720900 VRW720900:VRY720900 VIA720900:VIC720900 UYE720900:UYG720900 UOI720900:UOK720900 UEM720900:UEO720900 TUQ720900:TUS720900 TKU720900:TKW720900 TAY720900:TBA720900 SRC720900:SRE720900 SHG720900:SHI720900 RXK720900:RXM720900 RNO720900:RNQ720900 RDS720900:RDU720900 QTW720900:QTY720900 QKA720900:QKC720900 QAE720900:QAG720900 PQI720900:PQK720900 PGM720900:PGO720900 OWQ720900:OWS720900 OMU720900:OMW720900 OCY720900:ODA720900 NTC720900:NTE720900 NJG720900:NJI720900 MZK720900:MZM720900 MPO720900:MPQ720900 MFS720900:MFU720900 LVW720900:LVY720900 LMA720900:LMC720900 LCE720900:LCG720900 KSI720900:KSK720900 KIM720900:KIO720900 JYQ720900:JYS720900 JOU720900:JOW720900 JEY720900:JFA720900 IVC720900:IVE720900 ILG720900:ILI720900 IBK720900:IBM720900 HRO720900:HRQ720900 HHS720900:HHU720900 GXW720900:GXY720900 GOA720900:GOC720900 GEE720900:GEG720900 FUI720900:FUK720900 FKM720900:FKO720900 FAQ720900:FAS720900 EQU720900:EQW720900 EGY720900:EHA720900 DXC720900:DXE720900 DNG720900:DNI720900 DDK720900:DDM720900 CTO720900:CTQ720900 CJS720900:CJU720900 BZW720900:BZY720900 BQA720900:BQC720900 BGE720900:BGG720900 AWI720900:AWK720900 AMM720900:AMO720900 ACQ720900:ACS720900 SU720900:SW720900 IY720900:JA720900 C720900:E720900 WVK655364:WVM655364 WLO655364:WLQ655364 WBS655364:WBU655364 VRW655364:VRY655364 VIA655364:VIC655364 UYE655364:UYG655364 UOI655364:UOK655364 UEM655364:UEO655364 TUQ655364:TUS655364 TKU655364:TKW655364 TAY655364:TBA655364 SRC655364:SRE655364 SHG655364:SHI655364 RXK655364:RXM655364 RNO655364:RNQ655364 RDS655364:RDU655364 QTW655364:QTY655364 QKA655364:QKC655364 QAE655364:QAG655364 PQI655364:PQK655364 PGM655364:PGO655364 OWQ655364:OWS655364 OMU655364:OMW655364 OCY655364:ODA655364 NTC655364:NTE655364 NJG655364:NJI655364 MZK655364:MZM655364 MPO655364:MPQ655364 MFS655364:MFU655364 LVW655364:LVY655364 LMA655364:LMC655364 LCE655364:LCG655364 KSI655364:KSK655364 KIM655364:KIO655364 JYQ655364:JYS655364 JOU655364:JOW655364 JEY655364:JFA655364 IVC655364:IVE655364 ILG655364:ILI655364 IBK655364:IBM655364 HRO655364:HRQ655364 HHS655364:HHU655364 GXW655364:GXY655364 GOA655364:GOC655364 GEE655364:GEG655364 FUI655364:FUK655364 FKM655364:FKO655364 FAQ655364:FAS655364 EQU655364:EQW655364 EGY655364:EHA655364 DXC655364:DXE655364 DNG655364:DNI655364 DDK655364:DDM655364 CTO655364:CTQ655364 CJS655364:CJU655364 BZW655364:BZY655364 BQA655364:BQC655364 BGE655364:BGG655364 AWI655364:AWK655364 AMM655364:AMO655364 ACQ655364:ACS655364 SU655364:SW655364 IY655364:JA655364 C655364:E655364 WVK589828:WVM589828 WLO589828:WLQ589828 WBS589828:WBU589828 VRW589828:VRY589828 VIA589828:VIC589828 UYE589828:UYG589828 UOI589828:UOK589828 UEM589828:UEO589828 TUQ589828:TUS589828 TKU589828:TKW589828 TAY589828:TBA589828 SRC589828:SRE589828 SHG589828:SHI589828 RXK589828:RXM589828 RNO589828:RNQ589828 RDS589828:RDU589828 QTW589828:QTY589828 QKA589828:QKC589828 QAE589828:QAG589828 PQI589828:PQK589828 PGM589828:PGO589828 OWQ589828:OWS589828 OMU589828:OMW589828 OCY589828:ODA589828 NTC589828:NTE589828 NJG589828:NJI589828 MZK589828:MZM589828 MPO589828:MPQ589828 MFS589828:MFU589828 LVW589828:LVY589828 LMA589828:LMC589828 LCE589828:LCG589828 KSI589828:KSK589828 KIM589828:KIO589828 JYQ589828:JYS589828 JOU589828:JOW589828 JEY589828:JFA589828 IVC589828:IVE589828 ILG589828:ILI589828 IBK589828:IBM589828 HRO589828:HRQ589828 HHS589828:HHU589828 GXW589828:GXY589828 GOA589828:GOC589828 GEE589828:GEG589828 FUI589828:FUK589828 FKM589828:FKO589828 FAQ589828:FAS589828 EQU589828:EQW589828 EGY589828:EHA589828 DXC589828:DXE589828 DNG589828:DNI589828 DDK589828:DDM589828 CTO589828:CTQ589828 CJS589828:CJU589828 BZW589828:BZY589828 BQA589828:BQC589828 BGE589828:BGG589828 AWI589828:AWK589828 AMM589828:AMO589828 ACQ589828:ACS589828 SU589828:SW589828 IY589828:JA589828 C589828:E589828 WVK524292:WVM524292 WLO524292:WLQ524292 WBS524292:WBU524292 VRW524292:VRY524292 VIA524292:VIC524292 UYE524292:UYG524292 UOI524292:UOK524292 UEM524292:UEO524292 TUQ524292:TUS524292 TKU524292:TKW524292 TAY524292:TBA524292 SRC524292:SRE524292 SHG524292:SHI524292 RXK524292:RXM524292 RNO524292:RNQ524292 RDS524292:RDU524292 QTW524292:QTY524292 QKA524292:QKC524292 QAE524292:QAG524292 PQI524292:PQK524292 PGM524292:PGO524292 OWQ524292:OWS524292 OMU524292:OMW524292 OCY524292:ODA524292 NTC524292:NTE524292 NJG524292:NJI524292 MZK524292:MZM524292 MPO524292:MPQ524292 MFS524292:MFU524292 LVW524292:LVY524292 LMA524292:LMC524292 LCE524292:LCG524292 KSI524292:KSK524292 KIM524292:KIO524292 JYQ524292:JYS524292 JOU524292:JOW524292 JEY524292:JFA524292 IVC524292:IVE524292 ILG524292:ILI524292 IBK524292:IBM524292 HRO524292:HRQ524292 HHS524292:HHU524292 GXW524292:GXY524292 GOA524292:GOC524292 GEE524292:GEG524292 FUI524292:FUK524292 FKM524292:FKO524292 FAQ524292:FAS524292 EQU524292:EQW524292 EGY524292:EHA524292 DXC524292:DXE524292 DNG524292:DNI524292 DDK524292:DDM524292 CTO524292:CTQ524292 CJS524292:CJU524292 BZW524292:BZY524292 BQA524292:BQC524292 BGE524292:BGG524292 AWI524292:AWK524292 AMM524292:AMO524292 ACQ524292:ACS524292 SU524292:SW524292 IY524292:JA524292 C524292:E524292 WVK458756:WVM458756 WLO458756:WLQ458756 WBS458756:WBU458756 VRW458756:VRY458756 VIA458756:VIC458756 UYE458756:UYG458756 UOI458756:UOK458756 UEM458756:UEO458756 TUQ458756:TUS458756 TKU458756:TKW458756 TAY458756:TBA458756 SRC458756:SRE458756 SHG458756:SHI458756 RXK458756:RXM458756 RNO458756:RNQ458756 RDS458756:RDU458756 QTW458756:QTY458756 QKA458756:QKC458756 QAE458756:QAG458756 PQI458756:PQK458756 PGM458756:PGO458756 OWQ458756:OWS458756 OMU458756:OMW458756 OCY458756:ODA458756 NTC458756:NTE458756 NJG458756:NJI458756 MZK458756:MZM458756 MPO458756:MPQ458756 MFS458756:MFU458756 LVW458756:LVY458756 LMA458756:LMC458756 LCE458756:LCG458756 KSI458756:KSK458756 KIM458756:KIO458756 JYQ458756:JYS458756 JOU458756:JOW458756 JEY458756:JFA458756 IVC458756:IVE458756 ILG458756:ILI458756 IBK458756:IBM458756 HRO458756:HRQ458756 HHS458756:HHU458756 GXW458756:GXY458756 GOA458756:GOC458756 GEE458756:GEG458756 FUI458756:FUK458756 FKM458756:FKO458756 FAQ458756:FAS458756 EQU458756:EQW458756 EGY458756:EHA458756 DXC458756:DXE458756 DNG458756:DNI458756 DDK458756:DDM458756 CTO458756:CTQ458756 CJS458756:CJU458756 BZW458756:BZY458756 BQA458756:BQC458756 BGE458756:BGG458756 AWI458756:AWK458756 AMM458756:AMO458756 ACQ458756:ACS458756 SU458756:SW458756 IY458756:JA458756 C458756:E458756 WVK393220:WVM393220 WLO393220:WLQ393220 WBS393220:WBU393220 VRW393220:VRY393220 VIA393220:VIC393220 UYE393220:UYG393220 UOI393220:UOK393220 UEM393220:UEO393220 TUQ393220:TUS393220 TKU393220:TKW393220 TAY393220:TBA393220 SRC393220:SRE393220 SHG393220:SHI393220 RXK393220:RXM393220 RNO393220:RNQ393220 RDS393220:RDU393220 QTW393220:QTY393220 QKA393220:QKC393220 QAE393220:QAG393220 PQI393220:PQK393220 PGM393220:PGO393220 OWQ393220:OWS393220 OMU393220:OMW393220 OCY393220:ODA393220 NTC393220:NTE393220 NJG393220:NJI393220 MZK393220:MZM393220 MPO393220:MPQ393220 MFS393220:MFU393220 LVW393220:LVY393220 LMA393220:LMC393220 LCE393220:LCG393220 KSI393220:KSK393220 KIM393220:KIO393220 JYQ393220:JYS393220 JOU393220:JOW393220 JEY393220:JFA393220 IVC393220:IVE393220 ILG393220:ILI393220 IBK393220:IBM393220 HRO393220:HRQ393220 HHS393220:HHU393220 GXW393220:GXY393220 GOA393220:GOC393220 GEE393220:GEG393220 FUI393220:FUK393220 FKM393220:FKO393220 FAQ393220:FAS393220 EQU393220:EQW393220 EGY393220:EHA393220 DXC393220:DXE393220 DNG393220:DNI393220 DDK393220:DDM393220 CTO393220:CTQ393220 CJS393220:CJU393220 BZW393220:BZY393220 BQA393220:BQC393220 BGE393220:BGG393220 AWI393220:AWK393220 AMM393220:AMO393220 ACQ393220:ACS393220 SU393220:SW393220 IY393220:JA393220 C393220:E393220 WVK327684:WVM327684 WLO327684:WLQ327684 WBS327684:WBU327684 VRW327684:VRY327684 VIA327684:VIC327684 UYE327684:UYG327684 UOI327684:UOK327684 UEM327684:UEO327684 TUQ327684:TUS327684 TKU327684:TKW327684 TAY327684:TBA327684 SRC327684:SRE327684 SHG327684:SHI327684 RXK327684:RXM327684 RNO327684:RNQ327684 RDS327684:RDU327684 QTW327684:QTY327684 QKA327684:QKC327684 QAE327684:QAG327684 PQI327684:PQK327684 PGM327684:PGO327684 OWQ327684:OWS327684 OMU327684:OMW327684 OCY327684:ODA327684 NTC327684:NTE327684 NJG327684:NJI327684 MZK327684:MZM327684 MPO327684:MPQ327684 MFS327684:MFU327684 LVW327684:LVY327684 LMA327684:LMC327684 LCE327684:LCG327684 KSI327684:KSK327684 KIM327684:KIO327684 JYQ327684:JYS327684 JOU327684:JOW327684 JEY327684:JFA327684 IVC327684:IVE327684 ILG327684:ILI327684 IBK327684:IBM327684 HRO327684:HRQ327684 HHS327684:HHU327684 GXW327684:GXY327684 GOA327684:GOC327684 GEE327684:GEG327684 FUI327684:FUK327684 FKM327684:FKO327684 FAQ327684:FAS327684 EQU327684:EQW327684 EGY327684:EHA327684 DXC327684:DXE327684 DNG327684:DNI327684 DDK327684:DDM327684 CTO327684:CTQ327684 CJS327684:CJU327684 BZW327684:BZY327684 BQA327684:BQC327684 BGE327684:BGG327684 AWI327684:AWK327684 AMM327684:AMO327684 ACQ327684:ACS327684 SU327684:SW327684 IY327684:JA327684 C327684:E327684 WVK262148:WVM262148 WLO262148:WLQ262148 WBS262148:WBU262148 VRW262148:VRY262148 VIA262148:VIC262148 UYE262148:UYG262148 UOI262148:UOK262148 UEM262148:UEO262148 TUQ262148:TUS262148 TKU262148:TKW262148 TAY262148:TBA262148 SRC262148:SRE262148 SHG262148:SHI262148 RXK262148:RXM262148 RNO262148:RNQ262148 RDS262148:RDU262148 QTW262148:QTY262148 QKA262148:QKC262148 QAE262148:QAG262148 PQI262148:PQK262148 PGM262148:PGO262148 OWQ262148:OWS262148 OMU262148:OMW262148 OCY262148:ODA262148 NTC262148:NTE262148 NJG262148:NJI262148 MZK262148:MZM262148 MPO262148:MPQ262148 MFS262148:MFU262148 LVW262148:LVY262148 LMA262148:LMC262148 LCE262148:LCG262148 KSI262148:KSK262148 KIM262148:KIO262148 JYQ262148:JYS262148 JOU262148:JOW262148 JEY262148:JFA262148 IVC262148:IVE262148 ILG262148:ILI262148 IBK262148:IBM262148 HRO262148:HRQ262148 HHS262148:HHU262148 GXW262148:GXY262148 GOA262148:GOC262148 GEE262148:GEG262148 FUI262148:FUK262148 FKM262148:FKO262148 FAQ262148:FAS262148 EQU262148:EQW262148 EGY262148:EHA262148 DXC262148:DXE262148 DNG262148:DNI262148 DDK262148:DDM262148 CTO262148:CTQ262148 CJS262148:CJU262148 BZW262148:BZY262148 BQA262148:BQC262148 BGE262148:BGG262148 AWI262148:AWK262148 AMM262148:AMO262148 ACQ262148:ACS262148 SU262148:SW262148 IY262148:JA262148 C262148:E262148 WVK196612:WVM196612 WLO196612:WLQ196612 WBS196612:WBU196612 VRW196612:VRY196612 VIA196612:VIC196612 UYE196612:UYG196612 UOI196612:UOK196612 UEM196612:UEO196612 TUQ196612:TUS196612 TKU196612:TKW196612 TAY196612:TBA196612 SRC196612:SRE196612 SHG196612:SHI196612 RXK196612:RXM196612 RNO196612:RNQ196612 RDS196612:RDU196612 QTW196612:QTY196612 QKA196612:QKC196612 QAE196612:QAG196612 PQI196612:PQK196612 PGM196612:PGO196612 OWQ196612:OWS196612 OMU196612:OMW196612 OCY196612:ODA196612 NTC196612:NTE196612 NJG196612:NJI196612 MZK196612:MZM196612 MPO196612:MPQ196612 MFS196612:MFU196612 LVW196612:LVY196612 LMA196612:LMC196612 LCE196612:LCG196612 KSI196612:KSK196612 KIM196612:KIO196612 JYQ196612:JYS196612 JOU196612:JOW196612 JEY196612:JFA196612 IVC196612:IVE196612 ILG196612:ILI196612 IBK196612:IBM196612 HRO196612:HRQ196612 HHS196612:HHU196612 GXW196612:GXY196612 GOA196612:GOC196612 GEE196612:GEG196612 FUI196612:FUK196612 FKM196612:FKO196612 FAQ196612:FAS196612 EQU196612:EQW196612 EGY196612:EHA196612 DXC196612:DXE196612 DNG196612:DNI196612 DDK196612:DDM196612 CTO196612:CTQ196612 CJS196612:CJU196612 BZW196612:BZY196612 BQA196612:BQC196612 BGE196612:BGG196612 AWI196612:AWK196612 AMM196612:AMO196612 ACQ196612:ACS196612 SU196612:SW196612 IY196612:JA196612 C196612:E196612 WVK131076:WVM131076 WLO131076:WLQ131076 WBS131076:WBU131076 VRW131076:VRY131076 VIA131076:VIC131076 UYE131076:UYG131076 UOI131076:UOK131076 UEM131076:UEO131076 TUQ131076:TUS131076 TKU131076:TKW131076 TAY131076:TBA131076 SRC131076:SRE131076 SHG131076:SHI131076 RXK131076:RXM131076 RNO131076:RNQ131076 RDS131076:RDU131076 QTW131076:QTY131076 QKA131076:QKC131076 QAE131076:QAG131076 PQI131076:PQK131076 PGM131076:PGO131076 OWQ131076:OWS131076 OMU131076:OMW131076 OCY131076:ODA131076 NTC131076:NTE131076 NJG131076:NJI131076 MZK131076:MZM131076 MPO131076:MPQ131076 MFS131076:MFU131076 LVW131076:LVY131076 LMA131076:LMC131076 LCE131076:LCG131076 KSI131076:KSK131076 KIM131076:KIO131076 JYQ131076:JYS131076 JOU131076:JOW131076 JEY131076:JFA131076 IVC131076:IVE131076 ILG131076:ILI131076 IBK131076:IBM131076 HRO131076:HRQ131076 HHS131076:HHU131076 GXW131076:GXY131076 GOA131076:GOC131076 GEE131076:GEG131076 FUI131076:FUK131076 FKM131076:FKO131076 FAQ131076:FAS131076 EQU131076:EQW131076 EGY131076:EHA131076 DXC131076:DXE131076 DNG131076:DNI131076 DDK131076:DDM131076 CTO131076:CTQ131076 CJS131076:CJU131076 BZW131076:BZY131076 BQA131076:BQC131076 BGE131076:BGG131076 AWI131076:AWK131076 AMM131076:AMO131076 ACQ131076:ACS131076 SU131076:SW131076 IY131076:JA131076 C131076:E131076 WVK65540:WVM65540 WLO65540:WLQ65540 WBS65540:WBU65540 VRW65540:VRY65540 VIA65540:VIC65540 UYE65540:UYG65540 UOI65540:UOK65540 UEM65540:UEO65540 TUQ65540:TUS65540 TKU65540:TKW65540 TAY65540:TBA65540 SRC65540:SRE65540 SHG65540:SHI65540 RXK65540:RXM65540 RNO65540:RNQ65540 RDS65540:RDU65540 QTW65540:QTY65540 QKA65540:QKC65540 QAE65540:QAG65540 PQI65540:PQK65540 PGM65540:PGO65540 OWQ65540:OWS65540 OMU65540:OMW65540 OCY65540:ODA65540 NTC65540:NTE65540 NJG65540:NJI65540 MZK65540:MZM65540 MPO65540:MPQ65540 MFS65540:MFU65540 LVW65540:LVY65540 LMA65540:LMC65540 LCE65540:LCG65540 KSI65540:KSK65540 KIM65540:KIO65540 JYQ65540:JYS65540 JOU65540:JOW65540 JEY65540:JFA65540 IVC65540:IVE65540 ILG65540:ILI65540 IBK65540:IBM65540 HRO65540:HRQ65540 HHS65540:HHU65540 GXW65540:GXY65540 GOA65540:GOC65540 GEE65540:GEG65540 FUI65540:FUK65540 FKM65540:FKO65540 FAQ65540:FAS65540 EQU65540:EQW65540 EGY65540:EHA65540 DXC65540:DXE65540 DNG65540:DNI65540 DDK65540:DDM65540 CTO65540:CTQ65540 CJS65540:CJU65540 BZW65540:BZY65540 BQA65540:BQC65540 BGE65540:BGG65540 AWI65540:AWK65540 AMM65540:AMO65540 ACQ65540:ACS65540 SU65540:SW65540 IY65540:JA65540 C65540:E65540 WVK3:WVM3 WLO3:WLQ3 WBS3:WBU3 VRW3:VRY3 VIA3:VIC3 UYE3:UYG3 UOI3:UOK3 UEM3:UEO3 TUQ3:TUS3 TKU3:TKW3 TAY3:TBA3 SRC3:SRE3 SHG3:SHI3 RXK3:RXM3 RNO3:RNQ3 RDS3:RDU3 QTW3:QTY3 QKA3:QKC3 QAE3:QAG3 PQI3:PQK3 PGM3:PGO3 OWQ3:OWS3 OMU3:OMW3 OCY3:ODA3 NTC3:NTE3 NJG3:NJI3 MZK3:MZM3 MPO3:MPQ3 MFS3:MFU3 LVW3:LVY3 LMA3:LMC3 LCE3:LCG3 KSI3:KSK3 KIM3:KIO3 JYQ3:JYS3 JOU3:JOW3 JEY3:JFA3 IVC3:IVE3 ILG3:ILI3 IBK3:IBM3 HRO3:HRQ3 HHS3:HHU3 GXW3:GXY3 GOA3:GOC3 GEE3:GEG3 FUI3:FUK3 FKM3:FKO3 FAQ3:FAS3 EQU3:EQW3 EGY3:EHA3 DXC3:DXE3 DNG3:DNI3 DDK3:DDM3 CTO3:CTQ3 CJS3:CJU3 BZW3:BZY3 BQA3:BQC3 BGE3:BGG3 AWI3:AWK3 AMM3:AMO3 ACQ3:ACS3 SU3:SW3 IY3:JA3">
      <formula1>$Q$2:$Q$9</formula1>
    </dataValidation>
  </dataValidations>
  <pageMargins left="0.6692913385826772" right="0.70866141732283472" top="0.98425196850393704" bottom="0.59055118110236227" header="0.51181102362204722" footer="0.35433070866141736"/>
  <pageSetup paperSize="9" orientation="portrait" r:id="rId1"/>
  <headerFooter alignWithMargins="0">
    <oddHeader>&amp;L&amp;F</oddHeader>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20</vt:i4>
      </vt:variant>
      <vt:variant>
        <vt:lpstr>Namngivna områden</vt:lpstr>
      </vt:variant>
      <vt:variant>
        <vt:i4>17</vt:i4>
      </vt:variant>
    </vt:vector>
  </HeadingPairs>
  <TitlesOfParts>
    <vt:vector size="37" baseType="lpstr">
      <vt:lpstr>Rapp</vt:lpstr>
      <vt:lpstr>Överf</vt:lpstr>
      <vt:lpstr>PM</vt:lpstr>
      <vt:lpstr>Led</vt:lpstr>
      <vt:lpstr>Fältkort</vt:lpstr>
      <vt:lpstr>Resultat</vt:lpstr>
      <vt:lpstr>Sprutj</vt:lpstr>
      <vt:lpstr>Avvik</vt:lpstr>
      <vt:lpstr>T1</vt:lpstr>
      <vt:lpstr>Ob1</vt:lpstr>
      <vt:lpstr>Ob2</vt:lpstr>
      <vt:lpstr>Ob3</vt:lpstr>
      <vt:lpstr>F1</vt:lpstr>
      <vt:lpstr>F2</vt:lpstr>
      <vt:lpstr>G1</vt:lpstr>
      <vt:lpstr>G2</vt:lpstr>
      <vt:lpstr>G3</vt:lpstr>
      <vt:lpstr>SOP1</vt:lpstr>
      <vt:lpstr>Skörd</vt:lpstr>
      <vt:lpstr>Blad1</vt:lpstr>
      <vt:lpstr>Avvik!Utskriftsområde</vt:lpstr>
      <vt:lpstr>Fältkort!Utskriftsområde</vt:lpstr>
      <vt:lpstr>'Ob1'!Utskriftsområde</vt:lpstr>
      <vt:lpstr>'Ob2'!Utskriftsområde</vt:lpstr>
      <vt:lpstr>'Ob3'!Utskriftsområde</vt:lpstr>
      <vt:lpstr>PM!Utskriftsområde</vt:lpstr>
      <vt:lpstr>Resultat!Utskriftsområde</vt:lpstr>
      <vt:lpstr>Skörd!Utskriftsområde</vt:lpstr>
      <vt:lpstr>Sprutj!Utskriftsområde</vt:lpstr>
      <vt:lpstr>'T1'!Utskriftsområde</vt:lpstr>
      <vt:lpstr>'F1'!Utskriftsrubriker</vt:lpstr>
      <vt:lpstr>'F2'!Utskriftsrubriker</vt:lpstr>
      <vt:lpstr>'G1'!Utskriftsrubriker</vt:lpstr>
      <vt:lpstr>'G2'!Utskriftsrubriker</vt:lpstr>
      <vt:lpstr>'G3'!Utskriftsrubriker</vt:lpstr>
      <vt:lpstr>Resultat!Utskriftsrubriker</vt:lpstr>
      <vt:lpstr>Skörd!Utskriftsrubriker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Torbjörn Ewaldz</dc:creator>
  <cp:lastModifiedBy>sune</cp:lastModifiedBy>
  <cp:lastPrinted>2014-06-12T06:42:47Z</cp:lastPrinted>
  <dcterms:created xsi:type="dcterms:W3CDTF">2010-06-06T13:13:49Z</dcterms:created>
  <dcterms:modified xsi:type="dcterms:W3CDTF">2014-06-18T06:45:05Z</dcterms:modified>
</cp:coreProperties>
</file>